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80" windowHeight="8085" tabRatio="629" activeTab="0"/>
  </bookViews>
  <sheets>
    <sheet name="Plan1" sheetId="1" r:id="rId1"/>
    <sheet name="Plan2" sheetId="2" r:id="rId2"/>
    <sheet name="Plan3" sheetId="3" r:id="rId3"/>
    <sheet name="Plan4" sheetId="4" r:id="rId4"/>
    <sheet name="Planilha2" sheetId="5" state="hidden" r:id="rId5"/>
    <sheet name="Plan5" sheetId="6" r:id="rId6"/>
    <sheet name="Plan6" sheetId="7" r:id="rId7"/>
    <sheet name="Plan7" sheetId="8" r:id="rId8"/>
    <sheet name="Plan8" sheetId="9" r:id="rId9"/>
    <sheet name="Plan9" sheetId="10" r:id="rId10"/>
    <sheet name="Plan10" sheetId="11" r:id="rId11"/>
    <sheet name="Plan11" sheetId="12" r:id="rId12"/>
  </sheets>
  <definedNames>
    <definedName name="_xlnm.Print_Titles" localSheetId="4">'Planilha2'!$1:$15</definedName>
  </definedNames>
  <calcPr fullCalcOnLoad="1"/>
</workbook>
</file>

<file path=xl/sharedStrings.xml><?xml version="1.0" encoding="utf-8"?>
<sst xmlns="http://schemas.openxmlformats.org/spreadsheetml/2006/main" count="750" uniqueCount="209">
  <si>
    <t>JOSÉ ROBERTO AUGUSTO CORRÊA</t>
  </si>
  <si>
    <t>Anexo: 01</t>
  </si>
  <si>
    <t>Folha : 01</t>
  </si>
  <si>
    <t>Requerente:</t>
  </si>
  <si>
    <t>Requerido  :</t>
  </si>
  <si>
    <t>Período</t>
  </si>
  <si>
    <t>Valor da</t>
  </si>
  <si>
    <t>Subtotal</t>
  </si>
  <si>
    <t xml:space="preserve">Juros </t>
  </si>
  <si>
    <t>Saldo devedor</t>
  </si>
  <si>
    <t>parcela</t>
  </si>
  <si>
    <t>$</t>
  </si>
  <si>
    <t>Total</t>
  </si>
  <si>
    <t>Nº de Mêses</t>
  </si>
  <si>
    <t>Atrasados</t>
  </si>
  <si>
    <t>simples Acumul</t>
  </si>
  <si>
    <t xml:space="preserve">Composição Juros anual </t>
  </si>
  <si>
    <t>Juros Anterior</t>
  </si>
  <si>
    <t>Anexo: 02</t>
  </si>
  <si>
    <t>CONCLUSÃO</t>
  </si>
  <si>
    <t xml:space="preserve">        CONTEÚDO</t>
  </si>
  <si>
    <t xml:space="preserve">          VALORES</t>
  </si>
  <si>
    <t xml:space="preserve">        APURADOS</t>
  </si>
  <si>
    <t>II</t>
  </si>
  <si>
    <t>JRS. DE MORA (SIMPLES)</t>
  </si>
  <si>
    <t>R$</t>
  </si>
  <si>
    <t>Parcelas</t>
  </si>
  <si>
    <t>Pagas</t>
  </si>
  <si>
    <t>Sem Juros</t>
  </si>
  <si>
    <t>Principal.......................................................................................................................................</t>
  </si>
  <si>
    <t xml:space="preserve">Assistente Técnico Perícia Extrajudicial </t>
  </si>
  <si>
    <t xml:space="preserve">              CRC/SP 156.003</t>
  </si>
  <si>
    <t>Juros Simples à razão de 2,1622% ao mês............................................................................................................................................................................................................</t>
  </si>
  <si>
    <t>TOTAL devido - liquidado pelo Autor, vigente em 18.4.2017</t>
  </si>
  <si>
    <t>Principal</t>
  </si>
  <si>
    <t>I</t>
  </si>
  <si>
    <t xml:space="preserve">CESAR AUGUSTO NASCIMENTO </t>
  </si>
  <si>
    <t>CREDIFIBRA</t>
  </si>
  <si>
    <t>CÁLCULO PERÍODO À VENCER OU À PAGAR PELO AUTOR  DESDE 18.02.2013 ATÉ 18.04.2017</t>
  </si>
  <si>
    <t>TOTAL DEVEDOR - SALDO PRINCIPAL E JUROS, VIGENTE EM           27.11.2012............................................................................................................................................................................................................</t>
  </si>
  <si>
    <t>Contador CRC/SP 156.003</t>
  </si>
  <si>
    <t>Principal + juros = juros acumulados</t>
  </si>
  <si>
    <t>Índice anual………………………………………..</t>
  </si>
  <si>
    <t>Transformação:</t>
  </si>
  <si>
    <t>Juros mensal</t>
  </si>
  <si>
    <t>( - )</t>
  </si>
  <si>
    <t>( = )</t>
  </si>
  <si>
    <t>Juros Diário</t>
  </si>
  <si>
    <t>DESCRIÇÃO DO CONTRATO - INSTRUMENTO PARTICULAR DE VENDAS</t>
  </si>
  <si>
    <t>E COM GARANTIA HIPOTECÁRIA, CESSÃO E OUTRAS AVENÇAS</t>
  </si>
  <si>
    <t>NCZS</t>
  </si>
  <si>
    <t>Valor do Imóvel objeto da Garantia...........................................</t>
  </si>
  <si>
    <t>Descrição do Valor Financiado:</t>
  </si>
  <si>
    <t>Descrição da 1ª Prestação:</t>
  </si>
  <si>
    <t>Preço de venda do Imóvel............................................................................</t>
  </si>
  <si>
    <t>Pagamento - Entrada.................................................................................</t>
  </si>
  <si>
    <t>Valor do Financiamento...................................................................</t>
  </si>
  <si>
    <t>Seguros</t>
  </si>
  <si>
    <t>Valor Total da 1ª Prestação (vigênte em 27/02/1989)</t>
  </si>
  <si>
    <t>Valor</t>
  </si>
  <si>
    <t>Seguro</t>
  </si>
  <si>
    <t>Descrição Do Reajuste:</t>
  </si>
  <si>
    <t>Plano de Reajuste - PES/CP</t>
  </si>
  <si>
    <t>Categoria Profissional: Comerciante</t>
  </si>
  <si>
    <t>de</t>
  </si>
  <si>
    <t>Meses</t>
  </si>
  <si>
    <t>Nº</t>
  </si>
  <si>
    <t>Índices</t>
  </si>
  <si>
    <t>reajustes</t>
  </si>
  <si>
    <t>PLANILHA DE EVOLUÇÃO DA PRESTAÇÕES COM JUROS SIMPLES</t>
  </si>
  <si>
    <t>Valor principal Devedor em 27/04/1994............................................................................................................................................................................................................</t>
  </si>
  <si>
    <t>Juros a ser capilalizado em 27/04/1994</t>
  </si>
  <si>
    <t>OBS.: CONTINUA NO PROXIMO ANEXO, FACE ALTERAÇÃO DE SISTEMA DO BANCO</t>
  </si>
  <si>
    <t>CONTINUAÇÃO - PLANILHA DE EVOLUÇÃO DA PRESTAÇÕES COM JUROS SIMPLES</t>
  </si>
  <si>
    <t>Valores</t>
  </si>
  <si>
    <t>OBS.: 09/1993 diviso por 1.000</t>
  </si>
  <si>
    <t>Prestação</t>
  </si>
  <si>
    <t>Valor principal Devedor em 27/06/2000............................................................................................................................................................................................................</t>
  </si>
  <si>
    <t>Juros a ser capilalizado em 27/06/2000</t>
  </si>
  <si>
    <t>TOTAL SALDO DEVEDOR = PRINCIPAL E JUROS, VIGENTE           27.11.2012............................................................................................................................................................................................................</t>
  </si>
  <si>
    <t>transferência</t>
  </si>
  <si>
    <t>Folha : 02</t>
  </si>
  <si>
    <t>simples Ac</t>
  </si>
  <si>
    <t>Anexo: 03</t>
  </si>
  <si>
    <t>(O Agente financiador Requerido alterou a forma da Composição da Prestação)</t>
  </si>
  <si>
    <t>Saldo</t>
  </si>
  <si>
    <t>Devedor</t>
  </si>
  <si>
    <t>Juros</t>
  </si>
  <si>
    <t>CONTRATO: 0640720</t>
  </si>
  <si>
    <t xml:space="preserve">CONTRATO: 0640720 </t>
  </si>
  <si>
    <t>Mês</t>
  </si>
  <si>
    <t>Descrição dos Juros Simples:</t>
  </si>
  <si>
    <t>Descrição dos Juros Capitalizados pelo Requerido:</t>
  </si>
  <si>
    <t>/12 meses/100%</t>
  </si>
  <si>
    <t xml:space="preserve">Prazo de amortização </t>
  </si>
  <si>
    <t>192 meses</t>
  </si>
  <si>
    <t xml:space="preserve"> </t>
  </si>
  <si>
    <t>Valor da 1ª Prestação = Amortização e juros</t>
  </si>
  <si>
    <t>*</t>
  </si>
  <si>
    <t>=</t>
  </si>
  <si>
    <t>-</t>
  </si>
  <si>
    <t xml:space="preserve">Valor dos Juros da 1ª Pretação= </t>
  </si>
  <si>
    <t>Valor da Amortização =</t>
  </si>
  <si>
    <t>juros</t>
  </si>
  <si>
    <t>Amortizaç</t>
  </si>
  <si>
    <t>Amortiz</t>
  </si>
  <si>
    <t>SISTEMA DE CÁLCULO</t>
  </si>
  <si>
    <t>DE</t>
  </si>
  <si>
    <t>JUROS COMPOSTOS</t>
  </si>
  <si>
    <t>PLANILHA DE EVOLUÇÃO DA PRESTAÇÕES COM JUROS COMPOSTOS</t>
  </si>
  <si>
    <t>Juros Comp</t>
  </si>
  <si>
    <t>JUROS SIMPLES</t>
  </si>
  <si>
    <t>mês</t>
  </si>
  <si>
    <t>Anterior</t>
  </si>
  <si>
    <t>reajus</t>
  </si>
  <si>
    <t>Reajus</t>
  </si>
  <si>
    <t>Parcel</t>
  </si>
  <si>
    <t>%</t>
  </si>
  <si>
    <t>DEVEDOR</t>
  </si>
  <si>
    <t>SALDO</t>
  </si>
  <si>
    <t>Reajs</t>
  </si>
  <si>
    <t>Que seria</t>
  </si>
  <si>
    <t>com</t>
  </si>
  <si>
    <t>Juros Simp</t>
  </si>
  <si>
    <t>Reaj.</t>
  </si>
  <si>
    <t>Deved</t>
  </si>
  <si>
    <t>Anexo: 04</t>
  </si>
  <si>
    <t>Anexo: 05</t>
  </si>
  <si>
    <t>Anexo: 06</t>
  </si>
  <si>
    <t>Anexo: 07</t>
  </si>
  <si>
    <t>Acumulados</t>
  </si>
  <si>
    <t>simples</t>
  </si>
  <si>
    <t>ìndices</t>
  </si>
  <si>
    <t>Reaj</t>
  </si>
  <si>
    <t>Simples</t>
  </si>
  <si>
    <t>Acumulado</t>
  </si>
  <si>
    <t xml:space="preserve">DIFERENÇAS DE VALORES ENTRE JUROS </t>
  </si>
  <si>
    <t>COMPOSTOS E SIMPLES</t>
  </si>
  <si>
    <t>Anexo: 08</t>
  </si>
  <si>
    <t>VALORES</t>
  </si>
  <si>
    <t>JUROS</t>
  </si>
  <si>
    <t>COMPOSTOS</t>
  </si>
  <si>
    <t>SIMPLES</t>
  </si>
  <si>
    <t>DIFERENÇAS</t>
  </si>
  <si>
    <t>ENTRE</t>
  </si>
  <si>
    <t>E</t>
  </si>
  <si>
    <t>PLANILHA DE DIFERENÇAS ENTRE VALORES COM JUROS CAPITALIZADOS E SIMPLES</t>
  </si>
  <si>
    <t>Anexo: 09</t>
  </si>
  <si>
    <t>Folha : 03</t>
  </si>
  <si>
    <t>Folha : 04</t>
  </si>
  <si>
    <t>Anexo: 10</t>
  </si>
  <si>
    <t>Tabela</t>
  </si>
  <si>
    <t>Correção</t>
  </si>
  <si>
    <t>Monetária</t>
  </si>
  <si>
    <t>TJSP</t>
  </si>
  <si>
    <t>Época</t>
  </si>
  <si>
    <t>Própria</t>
  </si>
  <si>
    <t>Vigente</t>
  </si>
  <si>
    <t>Taxa</t>
  </si>
  <si>
    <t>Mora</t>
  </si>
  <si>
    <t>desde</t>
  </si>
  <si>
    <t>Citação</t>
  </si>
  <si>
    <t>Principal,</t>
  </si>
  <si>
    <t>e Juros</t>
  </si>
  <si>
    <t>fls159vº</t>
  </si>
  <si>
    <t>TOTAL GERAL vigente em 28/02/2014</t>
  </si>
  <si>
    <t>Correção Monetária</t>
  </si>
  <si>
    <t>Valor CREDITO aos Requerentes/Autores</t>
  </si>
  <si>
    <t>(vigente em 28.02.2014)</t>
  </si>
  <si>
    <t>III</t>
  </si>
  <si>
    <t>IV</t>
  </si>
  <si>
    <t>Honorários Advocatícios 20%</t>
  </si>
  <si>
    <t>TOTAL GERAL</t>
  </si>
  <si>
    <t>Anexo: 11</t>
  </si>
  <si>
    <t>Valor principal Devedor em 27/04/1994..............................................................................................................................................................................................</t>
  </si>
  <si>
    <t>Ttansf</t>
  </si>
  <si>
    <t>valor da parcela mensal + $ 32,64 valor inicial do seguro igual a $180,07 parcela inicial principal+juros +seguros)</t>
  </si>
  <si>
    <t>(Nova parcela mensal: máquina HP: juros simples 0,7083263%/190parcelas-$15432,00valor financiado&gt;$148.03</t>
  </si>
  <si>
    <t>PLANILHA DE JUROS DE MORA E ATUALIZAÇÃO MONETÁRIA SOBRE AS DIFERENÇAS APURADAS</t>
  </si>
  <si>
    <t>Requerente: XXXXXXXXXXXXXXXXXXX</t>
  </si>
  <si>
    <t>Requerido: XXXXXXXXXXXXXXXXXXX</t>
  </si>
  <si>
    <t>Requerente: XXXXXXXXXXXXXXXXX</t>
  </si>
  <si>
    <t>Requerido: XXXXXXXXXXXXXXXXX</t>
  </si>
  <si>
    <t>REQUERENTE: XXXXXXXXXXXXXXXXXX</t>
  </si>
  <si>
    <t>REQUERIDO: XXXXXXXXXXXXXXXX</t>
  </si>
  <si>
    <t>PROC. Nº: XXX.XX.XXXX.XXXXXX-X/XXXXXX-XXX</t>
  </si>
  <si>
    <t>ORDEM Nº : X.XXX/XX</t>
  </si>
  <si>
    <t>CONTRATO: XXXXXX</t>
  </si>
  <si>
    <t>XXXXXXXXXXXXXXXXXXXXXX</t>
  </si>
  <si>
    <t>CONTRATO: XXXXXXX</t>
  </si>
  <si>
    <t>Nº de mês</t>
  </si>
  <si>
    <t>Parcelas que seriam pagas com juros simples $</t>
  </si>
  <si>
    <t>Amortização $</t>
  </si>
  <si>
    <t>Juros $</t>
  </si>
  <si>
    <t>Índices Reaj. Parcela</t>
  </si>
  <si>
    <t>Índices Reaj. Saldo Devedor</t>
  </si>
  <si>
    <t>Juros  Simples Acumulado</t>
  </si>
  <si>
    <t>Saldo Devedor Anterior $</t>
  </si>
  <si>
    <t>Saldo devedor Juros Simples $</t>
  </si>
  <si>
    <t xml:space="preserve">CONTRATO: XXXXXXX </t>
  </si>
  <si>
    <t>VALORES JUROS COMPOSTOS $</t>
  </si>
  <si>
    <t>VALOR AMORTIZAÇÃO PAGO COM CAPITALIZAÇÃO DOS JUROS $</t>
  </si>
  <si>
    <t>SUBTOTAL JUROS COMPOSTOS E AMORTIZAÇÃO PAGO $</t>
  </si>
  <si>
    <t>VALORES JUROS SIMPLES - VALORES REAIS P/ PAGAR $</t>
  </si>
  <si>
    <t>VALOR AMORTIZAÇÃO - VALORES REAIS P/ PAGAR $</t>
  </si>
  <si>
    <t>SUBTOTAL JUROS SIMPLES E AMORTIZAÇÃO PAGO $</t>
  </si>
  <si>
    <t>VALORES DIFERENÇAS ENTRE JUROS COMPOSTOS E SIMPLES $</t>
  </si>
  <si>
    <t>Nº de Mês</t>
  </si>
  <si>
    <t>Requerente :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</si>
</sst>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00"/>
    <numFmt numFmtId="174" formatCode="_(* #,##0_);_(* \(#,##0\);_(* \-_);_(@_)"/>
    <numFmt numFmtId="175" formatCode="dd/mm/yy"/>
    <numFmt numFmtId="176" formatCode="0.0000"/>
    <numFmt numFmtId="177" formatCode="dd\-mmm\-yy"/>
    <numFmt numFmtId="178" formatCode="0.00000"/>
    <numFmt numFmtId="179" formatCode="0.000"/>
    <numFmt numFmtId="180" formatCode="_(* #,##0.0000_);_(* \(#,##0.0000\);_(* &quot;-&quot;??_);_(@_)"/>
    <numFmt numFmtId="181" formatCode="_(* #,##0.00000_);_(* \(#,##0.00000\);_(* &quot;-&quot;??_);_(@_)"/>
    <numFmt numFmtId="182" formatCode="_(* #,##0.0000000_);_(* \(#,##0.0000000\);_(* &quot;-&quot;??_);_(@_)"/>
    <numFmt numFmtId="183" formatCode="_(* #,##0.0000000_);_(* \(#,##0.0000000\);_(* &quot;-&quot;???????_);_(@_)"/>
    <numFmt numFmtId="184" formatCode="_(* #,##0.000000_);_(* \(#,##0.000000\);_(* &quot;-&quot;???????_);_(@_)"/>
    <numFmt numFmtId="185" formatCode="_(* #,##0.00000_);_(* \(#,##0.00000\);_(* &quot;-&quot;???????_);_(@_)"/>
    <numFmt numFmtId="186" formatCode="_(* #,##0.0000_);_(* \(#,##0.0000\);_(* &quot;-&quot;???????_);_(@_)"/>
    <numFmt numFmtId="187" formatCode="_(* #,##0.000_);_(* \(#,##0.000\);_(* &quot;-&quot;???????_);_(@_)"/>
    <numFmt numFmtId="188" formatCode="_(* #,##0.00_);_(* \(#,##0.00\);_(* &quot;-&quot;???????_);_(@_)"/>
    <numFmt numFmtId="189" formatCode="_(* #,##0.000000_);_(* \(#,##0.000000\);_(* &quot;-&quot;??_);_(@_)"/>
    <numFmt numFmtId="190" formatCode="0.000%"/>
    <numFmt numFmtId="191" formatCode="0.0000%"/>
    <numFmt numFmtId="192" formatCode="_(* #,##0.00000_);_(* \(#,##0.00000\);_(* &quot;-&quot;?????_);_(@_)"/>
    <numFmt numFmtId="193" formatCode="_(* #,##0.000000_);_(* \(#,##0.000000\);_(* &quot;-&quot;?????_);_(@_)"/>
    <numFmt numFmtId="194" formatCode="_(* #,##0.0000_);_(* \(#,##0.0000\);_(* &quot;-&quot;?????_);_(@_)"/>
    <numFmt numFmtId="195" formatCode="_(* #,##0.000_);_(* \(#,##0.000\);_(* &quot;-&quot;?????_);_(@_)"/>
    <numFmt numFmtId="196" formatCode="_(* #,##0.00_);_(* \(#,##0.00\);_(* &quot;-&quot;?????_);_(@_)"/>
    <numFmt numFmtId="197" formatCode="_(* #,##0.000000000_);_(* \(#,##0.000000000\);_(* &quot;-&quot;??_);_(@_)"/>
    <numFmt numFmtId="198" formatCode="&quot;R$&quot;\ #,##0.00"/>
    <numFmt numFmtId="199" formatCode="[$-416]dddd\,\ d&quot; de &quot;mmmm&quot; de &quot;yyyy"/>
    <numFmt numFmtId="200" formatCode="0.00000%"/>
    <numFmt numFmtId="201" formatCode="#,##0.0"/>
    <numFmt numFmtId="202" formatCode="#,##0.000"/>
    <numFmt numFmtId="203" formatCode="#,##0.0000"/>
    <numFmt numFmtId="204" formatCode="_-* #,##0.0000_-;\-* #,##0.0000_-;_-* &quot;-&quot;????_-;_-@_-"/>
    <numFmt numFmtId="205" formatCode="_-* #,##0.0000000_-;\-* #,##0.0000000_-;_-* &quot;-&quot;???????_-;_-@_-"/>
    <numFmt numFmtId="206" formatCode="_-* #,##0.00000000_-;\-* #,##0.00000000_-;_-* &quot;-&quot;???????_-;_-@_-"/>
    <numFmt numFmtId="207" formatCode="_-* #,##0.000000_-;\-* #,##0.000000_-;_-* &quot;-&quot;???????_-;_-@_-"/>
    <numFmt numFmtId="208" formatCode="_-* #,##0.00000_-;\-* #,##0.00000_-;_-* &quot;-&quot;???????_-;_-@_-"/>
    <numFmt numFmtId="209" formatCode="_-* #,##0.0000_-;\-* #,##0.0000_-;_-* &quot;-&quot;???????_-;_-@_-"/>
    <numFmt numFmtId="210" formatCode="_-* #,##0.000_-;\-* #,##0.000_-;_-* &quot;-&quot;???????_-;_-@_-"/>
    <numFmt numFmtId="211" formatCode="_-* #,##0.00_-;\-* #,##0.00_-;_-* &quot;-&quot;???????_-;_-@_-"/>
    <numFmt numFmtId="212" formatCode="&quot;Sim&quot;;&quot;Sim&quot;;&quot;Não&quot;"/>
    <numFmt numFmtId="213" formatCode="&quot;Verdadeiro&quot;;&quot;Verdadeiro&quot;;&quot;Falso&quot;"/>
    <numFmt numFmtId="214" formatCode="&quot;Ativar&quot;;&quot;Ativar&quot;;&quot;Desativar&quot;"/>
    <numFmt numFmtId="215" formatCode="[$€-2]\ #,##0.00_);[Red]\([$€-2]\ #,##0.00\)"/>
    <numFmt numFmtId="216" formatCode="#,##0.00000"/>
    <numFmt numFmtId="217" formatCode="#,##0.000000"/>
    <numFmt numFmtId="218" formatCode="0.00000000"/>
    <numFmt numFmtId="219" formatCode="0.0000000"/>
    <numFmt numFmtId="220" formatCode="#,##0.0000000"/>
    <numFmt numFmtId="221" formatCode="#,##0.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sz val="8"/>
      <color indexed="23"/>
      <name val="Tahoma"/>
      <family val="2"/>
    </font>
    <font>
      <b/>
      <sz val="8"/>
      <color indexed="23"/>
      <name val="Tahoma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b/>
      <sz val="18"/>
      <color theme="3"/>
      <name val="Cambria"/>
      <family val="2"/>
    </font>
    <font>
      <sz val="10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173" fontId="0" fillId="0" borderId="14" xfId="0" applyNumberFormat="1" applyBorder="1" applyAlignment="1">
      <alignment/>
    </xf>
    <xf numFmtId="0" fontId="19" fillId="16" borderId="14" xfId="0" applyFont="1" applyFill="1" applyBorder="1" applyAlignment="1">
      <alignment/>
    </xf>
    <xf numFmtId="0" fontId="0" fillId="16" borderId="14" xfId="0" applyFill="1" applyBorder="1" applyAlignment="1">
      <alignment/>
    </xf>
    <xf numFmtId="4" fontId="19" fillId="16" borderId="14" xfId="0" applyNumberFormat="1" applyFont="1" applyFill="1" applyBorder="1" applyAlignment="1">
      <alignment/>
    </xf>
    <xf numFmtId="4" fontId="0" fillId="16" borderId="14" xfId="0" applyNumberFormat="1" applyFill="1" applyBorder="1" applyAlignment="1">
      <alignment/>
    </xf>
    <xf numFmtId="4" fontId="0" fillId="0" borderId="0" xfId="0" applyNumberFormat="1" applyAlignment="1">
      <alignment/>
    </xf>
    <xf numFmtId="4" fontId="19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175" fontId="0" fillId="0" borderId="14" xfId="0" applyNumberFormat="1" applyBorder="1" applyAlignment="1">
      <alignment/>
    </xf>
    <xf numFmtId="4" fontId="19" fillId="0" borderId="14" xfId="0" applyNumberFormat="1" applyFont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right"/>
    </xf>
    <xf numFmtId="0" fontId="24" fillId="0" borderId="15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6" xfId="0" applyFont="1" applyFill="1" applyBorder="1" applyAlignment="1">
      <alignment horizontal="right"/>
    </xf>
    <xf numFmtId="0" fontId="24" fillId="0" borderId="17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/>
    </xf>
    <xf numFmtId="0" fontId="24" fillId="0" borderId="18" xfId="0" applyFont="1" applyFill="1" applyBorder="1" applyAlignment="1">
      <alignment horizontal="right"/>
    </xf>
    <xf numFmtId="0" fontId="24" fillId="0" borderId="0" xfId="0" applyFont="1" applyFill="1" applyBorder="1" applyAlignment="1" quotePrefix="1">
      <alignment horizontal="left"/>
    </xf>
    <xf numFmtId="0" fontId="27" fillId="0" borderId="0" xfId="0" applyFont="1" applyFill="1" applyBorder="1" applyAlignment="1">
      <alignment horizontal="left"/>
    </xf>
    <xf numFmtId="177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4" fillId="0" borderId="19" xfId="0" applyFont="1" applyFill="1" applyBorder="1" applyAlignment="1">
      <alignment/>
    </xf>
    <xf numFmtId="0" fontId="27" fillId="0" borderId="18" xfId="0" applyFont="1" applyFill="1" applyBorder="1" applyAlignment="1">
      <alignment horizontal="left"/>
    </xf>
    <xf numFmtId="171" fontId="27" fillId="0" borderId="18" xfId="53" applyFont="1" applyFill="1" applyBorder="1" applyAlignment="1" quotePrefix="1">
      <alignment horizontal="left"/>
    </xf>
    <xf numFmtId="171" fontId="27" fillId="0" borderId="18" xfId="53" applyFont="1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191" fontId="19" fillId="0" borderId="11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24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2" fontId="24" fillId="0" borderId="0" xfId="0" applyNumberFormat="1" applyFont="1" applyAlignment="1">
      <alignment/>
    </xf>
    <xf numFmtId="211" fontId="24" fillId="0" borderId="0" xfId="0" applyNumberFormat="1" applyFont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2" fontId="27" fillId="0" borderId="0" xfId="0" applyNumberFormat="1" applyFont="1" applyAlignment="1">
      <alignment/>
    </xf>
    <xf numFmtId="0" fontId="28" fillId="0" borderId="0" xfId="0" applyFont="1" applyAlignment="1">
      <alignment/>
    </xf>
    <xf numFmtId="171" fontId="24" fillId="0" borderId="0" xfId="53" applyFont="1" applyAlignment="1">
      <alignment/>
    </xf>
    <xf numFmtId="0" fontId="24" fillId="0" borderId="0" xfId="0" applyFont="1" applyAlignment="1">
      <alignment horizontal="center"/>
    </xf>
    <xf numFmtId="197" fontId="27" fillId="0" borderId="0" xfId="53" applyNumberFormat="1" applyFont="1" applyAlignment="1">
      <alignment/>
    </xf>
    <xf numFmtId="197" fontId="24" fillId="0" borderId="0" xfId="53" applyNumberFormat="1" applyFont="1" applyAlignment="1">
      <alignment/>
    </xf>
    <xf numFmtId="180" fontId="24" fillId="0" borderId="0" xfId="0" applyNumberFormat="1" applyFont="1" applyAlignment="1">
      <alignment/>
    </xf>
    <xf numFmtId="204" fontId="24" fillId="0" borderId="0" xfId="0" applyNumberFormat="1" applyFont="1" applyAlignment="1">
      <alignment/>
    </xf>
    <xf numFmtId="182" fontId="27" fillId="0" borderId="0" xfId="0" applyNumberFormat="1" applyFont="1" applyAlignment="1">
      <alignment/>
    </xf>
    <xf numFmtId="182" fontId="24" fillId="0" borderId="0" xfId="0" applyNumberFormat="1" applyFont="1" applyAlignment="1">
      <alignment/>
    </xf>
    <xf numFmtId="211" fontId="27" fillId="0" borderId="0" xfId="0" applyNumberFormat="1" applyFont="1" applyAlignment="1">
      <alignment/>
    </xf>
    <xf numFmtId="43" fontId="27" fillId="0" borderId="0" xfId="0" applyNumberFormat="1" applyFont="1" applyAlignment="1">
      <alignment/>
    </xf>
    <xf numFmtId="43" fontId="24" fillId="0" borderId="0" xfId="0" applyNumberFormat="1" applyFont="1" applyAlignment="1">
      <alignment/>
    </xf>
    <xf numFmtId="0" fontId="27" fillId="0" borderId="1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200" fontId="27" fillId="0" borderId="11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 horizontal="center"/>
    </xf>
    <xf numFmtId="175" fontId="24" fillId="0" borderId="14" xfId="0" applyNumberFormat="1" applyFont="1" applyBorder="1" applyAlignment="1">
      <alignment/>
    </xf>
    <xf numFmtId="4" fontId="24" fillId="0" borderId="14" xfId="0" applyNumberFormat="1" applyFont="1" applyBorder="1" applyAlignment="1">
      <alignment/>
    </xf>
    <xf numFmtId="2" fontId="24" fillId="0" borderId="14" xfId="0" applyNumberFormat="1" applyFont="1" applyBorder="1" applyAlignment="1">
      <alignment/>
    </xf>
    <xf numFmtId="203" fontId="24" fillId="0" borderId="14" xfId="0" applyNumberFormat="1" applyFont="1" applyBorder="1" applyAlignment="1">
      <alignment/>
    </xf>
    <xf numFmtId="0" fontId="27" fillId="16" borderId="14" xfId="0" applyFont="1" applyFill="1" applyBorder="1" applyAlignment="1">
      <alignment/>
    </xf>
    <xf numFmtId="0" fontId="24" fillId="16" borderId="14" xfId="0" applyFont="1" applyFill="1" applyBorder="1" applyAlignment="1">
      <alignment/>
    </xf>
    <xf numFmtId="4" fontId="27" fillId="16" borderId="14" xfId="0" applyNumberFormat="1" applyFont="1" applyFill="1" applyBorder="1" applyAlignment="1">
      <alignment/>
    </xf>
    <xf numFmtId="4" fontId="24" fillId="16" borderId="14" xfId="0" applyNumberFormat="1" applyFont="1" applyFill="1" applyBorder="1" applyAlignment="1">
      <alignment/>
    </xf>
    <xf numFmtId="4" fontId="27" fillId="0" borderId="0" xfId="0" applyNumberFormat="1" applyFont="1" applyBorder="1" applyAlignment="1">
      <alignment/>
    </xf>
    <xf numFmtId="14" fontId="27" fillId="0" borderId="0" xfId="0" applyNumberFormat="1" applyFont="1" applyAlignment="1">
      <alignment/>
    </xf>
    <xf numFmtId="0" fontId="27" fillId="0" borderId="0" xfId="0" applyFont="1" applyFill="1" applyBorder="1" applyAlignment="1">
      <alignment/>
    </xf>
    <xf numFmtId="10" fontId="27" fillId="0" borderId="11" xfId="0" applyNumberFormat="1" applyFont="1" applyBorder="1" applyAlignment="1">
      <alignment horizontal="center"/>
    </xf>
    <xf numFmtId="4" fontId="27" fillId="0" borderId="14" xfId="0" applyNumberFormat="1" applyFont="1" applyBorder="1" applyAlignment="1">
      <alignment/>
    </xf>
    <xf numFmtId="0" fontId="27" fillId="0" borderId="0" xfId="0" applyFont="1" applyFill="1" applyBorder="1" applyAlignment="1">
      <alignment horizontal="center"/>
    </xf>
    <xf numFmtId="14" fontId="24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217" fontId="24" fillId="0" borderId="14" xfId="0" applyNumberFormat="1" applyFont="1" applyBorder="1" applyAlignment="1">
      <alignment/>
    </xf>
    <xf numFmtId="191" fontId="27" fillId="0" borderId="12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/>
    </xf>
    <xf numFmtId="200" fontId="27" fillId="0" borderId="23" xfId="0" applyNumberFormat="1" applyFont="1" applyBorder="1" applyAlignment="1">
      <alignment horizontal="center"/>
    </xf>
    <xf numFmtId="203" fontId="24" fillId="0" borderId="0" xfId="0" applyNumberFormat="1" applyFont="1" applyBorder="1" applyAlignment="1">
      <alignment/>
    </xf>
    <xf numFmtId="175" fontId="27" fillId="0" borderId="14" xfId="0" applyNumberFormat="1" applyFont="1" applyBorder="1" applyAlignment="1">
      <alignment/>
    </xf>
    <xf numFmtId="173" fontId="27" fillId="0" borderId="14" xfId="0" applyNumberFormat="1" applyFont="1" applyBorder="1" applyAlignment="1">
      <alignment/>
    </xf>
    <xf numFmtId="220" fontId="24" fillId="0" borderId="14" xfId="0" applyNumberFormat="1" applyFont="1" applyBorder="1" applyAlignment="1">
      <alignment/>
    </xf>
    <xf numFmtId="14" fontId="27" fillId="0" borderId="11" xfId="0" applyNumberFormat="1" applyFont="1" applyBorder="1" applyAlignment="1">
      <alignment horizontal="center"/>
    </xf>
    <xf numFmtId="14" fontId="27" fillId="0" borderId="12" xfId="0" applyNumberFormat="1" applyFont="1" applyBorder="1" applyAlignment="1">
      <alignment horizontal="center"/>
    </xf>
    <xf numFmtId="173" fontId="24" fillId="0" borderId="14" xfId="0" applyNumberFormat="1" applyFont="1" applyBorder="1" applyAlignment="1">
      <alignment/>
    </xf>
    <xf numFmtId="217" fontId="24" fillId="0" borderId="24" xfId="0" applyNumberFormat="1" applyFont="1" applyFill="1" applyBorder="1" applyAlignment="1">
      <alignment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7" fillId="24" borderId="0" xfId="0" applyFont="1" applyFill="1" applyBorder="1" applyAlignment="1">
      <alignment horizontal="left" wrapText="1"/>
    </xf>
    <xf numFmtId="4" fontId="29" fillId="24" borderId="0" xfId="0" applyNumberFormat="1" applyFont="1" applyFill="1" applyBorder="1" applyAlignment="1">
      <alignment horizontal="center" wrapText="1"/>
    </xf>
    <xf numFmtId="4" fontId="24" fillId="24" borderId="0" xfId="0" applyNumberFormat="1" applyFont="1" applyFill="1" applyBorder="1" applyAlignment="1">
      <alignment horizontal="center" wrapText="1"/>
    </xf>
    <xf numFmtId="0" fontId="27" fillId="0" borderId="0" xfId="0" applyFont="1" applyBorder="1" applyAlignment="1">
      <alignment/>
    </xf>
    <xf numFmtId="2" fontId="30" fillId="24" borderId="0" xfId="0" applyNumberFormat="1" applyFont="1" applyFill="1" applyBorder="1" applyAlignment="1">
      <alignment horizontal="center" wrapText="1"/>
    </xf>
    <xf numFmtId="4" fontId="24" fillId="24" borderId="0" xfId="0" applyNumberFormat="1" applyFont="1" applyFill="1" applyBorder="1" applyAlignment="1">
      <alignment horizontal="right" wrapText="1"/>
    </xf>
    <xf numFmtId="2" fontId="29" fillId="24" borderId="0" xfId="0" applyNumberFormat="1" applyFont="1" applyFill="1" applyBorder="1" applyAlignment="1">
      <alignment horizontal="center" wrapText="1"/>
    </xf>
    <xf numFmtId="4" fontId="28" fillId="24" borderId="0" xfId="0" applyNumberFormat="1" applyFont="1" applyFill="1" applyBorder="1" applyAlignment="1">
      <alignment horizontal="right" wrapText="1"/>
    </xf>
    <xf numFmtId="4" fontId="27" fillId="24" borderId="27" xfId="0" applyNumberFormat="1" applyFont="1" applyFill="1" applyBorder="1" applyAlignment="1">
      <alignment horizontal="right" wrapText="1"/>
    </xf>
    <xf numFmtId="4" fontId="25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0" fontId="24" fillId="0" borderId="28" xfId="0" applyFont="1" applyBorder="1" applyAlignment="1">
      <alignment/>
    </xf>
    <xf numFmtId="180" fontId="24" fillId="0" borderId="0" xfId="53" applyNumberFormat="1" applyFont="1" applyAlignment="1">
      <alignment horizontal="center"/>
    </xf>
    <xf numFmtId="173" fontId="24" fillId="0" borderId="0" xfId="0" applyNumberFormat="1" applyFont="1" applyAlignment="1">
      <alignment horizontal="left"/>
    </xf>
    <xf numFmtId="181" fontId="24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25" fillId="0" borderId="0" xfId="0" applyFont="1" applyFill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00" fontId="27" fillId="0" borderId="10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00" fontId="27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200" fontId="27" fillId="0" borderId="1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3E1281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E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B40" sqref="B40"/>
    </sheetView>
  </sheetViews>
  <sheetFormatPr defaultColWidth="10.7109375" defaultRowHeight="12" customHeight="1"/>
  <cols>
    <col min="1" max="16384" width="10.7109375" style="64" customWidth="1"/>
  </cols>
  <sheetData>
    <row r="1" spans="1:8" ht="12" customHeight="1">
      <c r="A1" s="63"/>
      <c r="H1" s="65" t="s">
        <v>1</v>
      </c>
    </row>
    <row r="2" spans="1:8" ht="12" customHeight="1">
      <c r="A2" s="63"/>
      <c r="H2" s="65" t="s">
        <v>2</v>
      </c>
    </row>
    <row r="3" spans="1:8" ht="12" customHeight="1">
      <c r="A3" s="63"/>
      <c r="H3" s="65"/>
    </row>
    <row r="4" spans="1:8" ht="12" customHeight="1">
      <c r="A4" s="137" t="s">
        <v>183</v>
      </c>
      <c r="B4" s="137"/>
      <c r="C4" s="137"/>
      <c r="D4" s="137"/>
      <c r="H4" s="60"/>
    </row>
    <row r="5" spans="1:4" ht="12" customHeight="1">
      <c r="A5" s="137" t="s">
        <v>184</v>
      </c>
      <c r="B5" s="137"/>
      <c r="C5" s="137"/>
      <c r="D5" s="137"/>
    </row>
    <row r="6" spans="1:4" ht="12" customHeight="1">
      <c r="A6" s="137" t="s">
        <v>185</v>
      </c>
      <c r="B6" s="137"/>
      <c r="C6" s="137"/>
      <c r="D6" s="137"/>
    </row>
    <row r="7" spans="1:4" ht="12" customHeight="1">
      <c r="A7" s="137" t="s">
        <v>186</v>
      </c>
      <c r="B7" s="137"/>
      <c r="C7" s="137"/>
      <c r="D7" s="137"/>
    </row>
    <row r="8" spans="1:4" ht="12" customHeight="1">
      <c r="A8" s="137" t="s">
        <v>187</v>
      </c>
      <c r="B8" s="137"/>
      <c r="C8" s="137"/>
      <c r="D8" s="137"/>
    </row>
    <row r="10" ht="12" customHeight="1">
      <c r="A10" s="60" t="s">
        <v>48</v>
      </c>
    </row>
    <row r="11" ht="12" customHeight="1">
      <c r="A11" s="60" t="s">
        <v>49</v>
      </c>
    </row>
    <row r="13" ht="12" customHeight="1">
      <c r="C13" s="60" t="s">
        <v>52</v>
      </c>
    </row>
    <row r="14" spans="1:8" ht="12" customHeight="1">
      <c r="A14" s="64" t="s">
        <v>51</v>
      </c>
      <c r="G14" s="65" t="s">
        <v>50</v>
      </c>
      <c r="H14" s="66">
        <v>33280.53</v>
      </c>
    </row>
    <row r="15" ht="12" customHeight="1">
      <c r="G15" s="65"/>
    </row>
    <row r="16" spans="1:8" ht="12" customHeight="1">
      <c r="A16" s="64" t="s">
        <v>54</v>
      </c>
      <c r="G16" s="65" t="s">
        <v>50</v>
      </c>
      <c r="H16" s="61">
        <v>22046</v>
      </c>
    </row>
    <row r="17" spans="1:8" ht="12" customHeight="1">
      <c r="A17" s="64" t="s">
        <v>55</v>
      </c>
      <c r="G17" s="65" t="s">
        <v>50</v>
      </c>
      <c r="H17" s="67">
        <v>6614</v>
      </c>
    </row>
    <row r="18" spans="1:8" ht="12" customHeight="1">
      <c r="A18" s="64" t="s">
        <v>56</v>
      </c>
      <c r="G18" s="68" t="s">
        <v>50</v>
      </c>
      <c r="H18" s="69">
        <f>H16-H17</f>
        <v>15432</v>
      </c>
    </row>
    <row r="20" ht="12" customHeight="1">
      <c r="C20" s="60" t="s">
        <v>53</v>
      </c>
    </row>
    <row r="21" spans="1:8" ht="12" customHeight="1">
      <c r="A21" s="64" t="s">
        <v>97</v>
      </c>
      <c r="G21" s="65" t="s">
        <v>50</v>
      </c>
      <c r="H21" s="64">
        <v>169.39</v>
      </c>
    </row>
    <row r="22" spans="1:8" ht="12" customHeight="1">
      <c r="A22" s="64" t="s">
        <v>57</v>
      </c>
      <c r="G22" s="65" t="s">
        <v>50</v>
      </c>
      <c r="H22" s="70">
        <v>32.64</v>
      </c>
    </row>
    <row r="23" spans="1:8" ht="12" customHeight="1">
      <c r="A23" s="64" t="s">
        <v>58</v>
      </c>
      <c r="G23" s="65" t="s">
        <v>50</v>
      </c>
      <c r="H23" s="64">
        <f>SUM(H21:H22)</f>
        <v>202.02999999999997</v>
      </c>
    </row>
    <row r="24" spans="1:8" ht="12" customHeight="1">
      <c r="A24" s="64" t="s">
        <v>96</v>
      </c>
      <c r="H24" s="65"/>
    </row>
    <row r="25" spans="1:8" ht="12" customHeight="1">
      <c r="A25" s="64" t="s">
        <v>94</v>
      </c>
      <c r="D25" s="64" t="s">
        <v>95</v>
      </c>
      <c r="H25" s="65"/>
    </row>
    <row r="27" ht="12" customHeight="1">
      <c r="C27" s="60" t="s">
        <v>61</v>
      </c>
    </row>
    <row r="28" ht="12" customHeight="1">
      <c r="A28" s="64" t="s">
        <v>62</v>
      </c>
    </row>
    <row r="29" ht="12" customHeight="1">
      <c r="A29" s="64" t="s">
        <v>63</v>
      </c>
    </row>
    <row r="31" ht="12" customHeight="1">
      <c r="C31" s="60" t="s">
        <v>91</v>
      </c>
    </row>
    <row r="33" spans="1:6" ht="12" customHeight="1">
      <c r="A33" s="64" t="s">
        <v>42</v>
      </c>
      <c r="D33" s="134">
        <v>8.839</v>
      </c>
      <c r="E33" s="134"/>
      <c r="F33" s="60"/>
    </row>
    <row r="35" ht="12" customHeight="1">
      <c r="A35" s="64" t="s">
        <v>43</v>
      </c>
    </row>
    <row r="37" spans="1:6" ht="12" customHeight="1">
      <c r="A37" s="60" t="s">
        <v>44</v>
      </c>
      <c r="F37" s="71"/>
    </row>
    <row r="38" spans="2:3" ht="12" customHeight="1">
      <c r="B38" s="135">
        <f>1/12</f>
        <v>0.08333333333333333</v>
      </c>
      <c r="C38" s="135"/>
    </row>
    <row r="39" spans="1:6" ht="12" customHeight="1">
      <c r="A39" s="136">
        <f>D33/100+1</f>
        <v>1.08839</v>
      </c>
      <c r="B39" s="136"/>
      <c r="C39" s="65" t="s">
        <v>45</v>
      </c>
      <c r="D39" s="71">
        <v>1</v>
      </c>
      <c r="E39" s="72" t="s">
        <v>46</v>
      </c>
      <c r="F39" s="73">
        <f>(A39^B38)-D39</f>
        <v>0.007083263481766355</v>
      </c>
    </row>
    <row r="41" ht="12" customHeight="1">
      <c r="A41" s="60" t="s">
        <v>47</v>
      </c>
    </row>
    <row r="42" spans="2:3" ht="12" customHeight="1">
      <c r="B42" s="135">
        <f>1/360</f>
        <v>0.002777777777777778</v>
      </c>
      <c r="C42" s="135"/>
    </row>
    <row r="43" spans="1:6" ht="12" customHeight="1">
      <c r="A43" s="136">
        <f>A39</f>
        <v>1.08839</v>
      </c>
      <c r="B43" s="136"/>
      <c r="C43" s="65" t="s">
        <v>45</v>
      </c>
      <c r="D43" s="71">
        <v>1</v>
      </c>
      <c r="E43" s="72" t="s">
        <v>46</v>
      </c>
      <c r="F43" s="74">
        <f>(A43^B42)-D43</f>
        <v>0.00023530417992589925</v>
      </c>
    </row>
    <row r="45" ht="12" customHeight="1">
      <c r="B45" s="60" t="s">
        <v>92</v>
      </c>
    </row>
    <row r="47" spans="1:5" ht="12" customHeight="1">
      <c r="A47" s="64" t="str">
        <f>A33</f>
        <v>Índice anual………………………………………..</v>
      </c>
      <c r="E47" s="75">
        <f>D33</f>
        <v>8.839</v>
      </c>
    </row>
    <row r="49" ht="12" customHeight="1">
      <c r="A49" s="64" t="str">
        <f>A37</f>
        <v>Juros mensal</v>
      </c>
    </row>
    <row r="50" spans="2:5" ht="12" customHeight="1">
      <c r="B50" s="76">
        <f>E47</f>
        <v>8.839</v>
      </c>
      <c r="C50" s="64" t="s">
        <v>93</v>
      </c>
      <c r="E50" s="77">
        <f>B50/12/100</f>
        <v>0.007365833333333334</v>
      </c>
    </row>
    <row r="52" spans="1:8" ht="12" customHeight="1">
      <c r="A52" s="60" t="s">
        <v>101</v>
      </c>
      <c r="B52" s="60"/>
      <c r="C52" s="60"/>
      <c r="D52" s="61">
        <f>H18</f>
        <v>15432</v>
      </c>
      <c r="E52" s="64" t="s">
        <v>98</v>
      </c>
      <c r="F52" s="78">
        <f>E50</f>
        <v>0.007365833333333334</v>
      </c>
      <c r="G52" s="78" t="s">
        <v>99</v>
      </c>
      <c r="H52" s="79">
        <f>D52*F52</f>
        <v>113.66954</v>
      </c>
    </row>
    <row r="53" spans="1:8" ht="12" customHeight="1">
      <c r="A53" s="60" t="s">
        <v>102</v>
      </c>
      <c r="D53" s="64">
        <f>H21</f>
        <v>169.39</v>
      </c>
      <c r="E53" s="64" t="s">
        <v>100</v>
      </c>
      <c r="F53" s="62">
        <f>H52</f>
        <v>113.66954</v>
      </c>
      <c r="G53" s="64" t="s">
        <v>99</v>
      </c>
      <c r="H53" s="80">
        <f>D53-F53</f>
        <v>55.72045999999999</v>
      </c>
    </row>
    <row r="54" ht="12" customHeight="1">
      <c r="E54" s="62"/>
    </row>
    <row r="55" ht="12" customHeight="1">
      <c r="H55" s="81"/>
    </row>
  </sheetData>
  <sheetProtection/>
  <mergeCells count="10">
    <mergeCell ref="D33:E33"/>
    <mergeCell ref="B38:C38"/>
    <mergeCell ref="A39:B39"/>
    <mergeCell ref="B42:C42"/>
    <mergeCell ref="A43:B43"/>
    <mergeCell ref="A4:D4"/>
    <mergeCell ref="A5:D5"/>
    <mergeCell ref="A6:D6"/>
    <mergeCell ref="A8:D8"/>
    <mergeCell ref="A7:D7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2"/>
  <sheetViews>
    <sheetView zoomScalePageLayoutView="0" workbookViewId="0" topLeftCell="A178">
      <selection activeCell="K169" sqref="K169"/>
    </sheetView>
  </sheetViews>
  <sheetFormatPr defaultColWidth="14.28125" defaultRowHeight="12.75"/>
  <cols>
    <col min="1" max="16384" width="13.7109375" style="64" customWidth="1"/>
  </cols>
  <sheetData>
    <row r="1" spans="1:9" ht="10.5">
      <c r="A1" s="63"/>
      <c r="I1" s="65" t="s">
        <v>147</v>
      </c>
    </row>
    <row r="2" spans="1:9" ht="10.5">
      <c r="A2" s="63"/>
      <c r="I2" s="65" t="s">
        <v>2</v>
      </c>
    </row>
    <row r="3" ht="10.5">
      <c r="A3" s="63"/>
    </row>
    <row r="4" spans="1:7" ht="10.5">
      <c r="A4" s="60" t="s">
        <v>3</v>
      </c>
      <c r="B4" s="60" t="s">
        <v>188</v>
      </c>
      <c r="D4" s="60"/>
      <c r="E4" s="60"/>
      <c r="F4" s="60"/>
      <c r="G4" s="60"/>
    </row>
    <row r="5" spans="1:7" ht="10.5">
      <c r="A5" s="60" t="s">
        <v>4</v>
      </c>
      <c r="B5" s="60" t="s">
        <v>188</v>
      </c>
      <c r="D5" s="60"/>
      <c r="E5" s="60"/>
      <c r="F5" s="60"/>
      <c r="G5" s="60"/>
    </row>
    <row r="6" ht="10.5">
      <c r="A6" s="60"/>
    </row>
    <row r="7" spans="1:7" ht="10.5">
      <c r="A7" s="60"/>
      <c r="B7" s="60"/>
      <c r="C7" s="60" t="s">
        <v>146</v>
      </c>
      <c r="D7" s="60"/>
      <c r="E7" s="60"/>
      <c r="F7" s="60"/>
      <c r="G7" s="60"/>
    </row>
    <row r="8" ht="10.5">
      <c r="E8" s="60" t="s">
        <v>89</v>
      </c>
    </row>
    <row r="9" ht="11.25" thickBot="1"/>
    <row r="10" spans="1:9" s="141" customFormat="1" ht="61.5" customHeight="1" thickBot="1" thickTop="1">
      <c r="A10" s="150" t="s">
        <v>207</v>
      </c>
      <c r="B10" s="150" t="s">
        <v>5</v>
      </c>
      <c r="C10" s="150" t="s">
        <v>200</v>
      </c>
      <c r="D10" s="150" t="s">
        <v>201</v>
      </c>
      <c r="E10" s="150" t="s">
        <v>202</v>
      </c>
      <c r="F10" s="150" t="s">
        <v>203</v>
      </c>
      <c r="G10" s="150" t="s">
        <v>204</v>
      </c>
      <c r="H10" s="150" t="s">
        <v>205</v>
      </c>
      <c r="I10" s="150" t="s">
        <v>206</v>
      </c>
    </row>
    <row r="11" ht="11.25" thickTop="1"/>
    <row r="12" spans="1:9" ht="10.5">
      <c r="A12" s="90">
        <v>0</v>
      </c>
      <c r="B12" s="91">
        <v>32535</v>
      </c>
      <c r="C12" s="92">
        <f>Plan3!E16</f>
        <v>0</v>
      </c>
      <c r="D12" s="92">
        <f>Plan3!F16</f>
        <v>0</v>
      </c>
      <c r="E12" s="92">
        <f>C12+D12</f>
        <v>0</v>
      </c>
      <c r="F12" s="93">
        <f>Plan6!E16</f>
        <v>0</v>
      </c>
      <c r="G12" s="92">
        <f>Plan6!F16</f>
        <v>0</v>
      </c>
      <c r="H12" s="92">
        <f>F12+G12</f>
        <v>0</v>
      </c>
      <c r="I12" s="92">
        <v>0</v>
      </c>
    </row>
    <row r="13" spans="1:9" ht="10.5">
      <c r="A13" s="90">
        <f>A12+1</f>
        <v>1</v>
      </c>
      <c r="B13" s="91">
        <v>32566</v>
      </c>
      <c r="C13" s="92">
        <f>Plan3!E17</f>
        <v>137.3448</v>
      </c>
      <c r="D13" s="92">
        <f>Plan3!F17</f>
        <v>32.045199999999994</v>
      </c>
      <c r="E13" s="92">
        <f aca="true" t="shared" si="0" ref="E13:E51">C13+D13</f>
        <v>169.39</v>
      </c>
      <c r="F13" s="93">
        <f>Plan6!E17</f>
        <v>109.30886832</v>
      </c>
      <c r="G13" s="92">
        <f>Plan6!F17</f>
        <v>5.48113167999999</v>
      </c>
      <c r="H13" s="92">
        <f aca="true" t="shared" si="1" ref="H13:H51">F13+G13</f>
        <v>114.78999999999999</v>
      </c>
      <c r="I13" s="92">
        <v>0</v>
      </c>
    </row>
    <row r="14" spans="1:9" ht="10.5">
      <c r="A14" s="90">
        <f aca="true" t="shared" si="2" ref="A14:A24">A13+1</f>
        <v>2</v>
      </c>
      <c r="B14" s="91">
        <f>B13+28</f>
        <v>32594</v>
      </c>
      <c r="C14" s="92">
        <f>Plan3!E18</f>
        <v>159.86883719440004</v>
      </c>
      <c r="D14" s="92">
        <f>Plan3!F18</f>
        <v>10.121162805599965</v>
      </c>
      <c r="E14" s="92">
        <f t="shared" si="0"/>
        <v>169.99</v>
      </c>
      <c r="F14" s="93">
        <f>Plan6!E18</f>
        <v>125.87475075868466</v>
      </c>
      <c r="G14" s="92">
        <f>Plan6!F18</f>
        <v>22.155249241315346</v>
      </c>
      <c r="H14" s="92">
        <f t="shared" si="1"/>
        <v>148.03</v>
      </c>
      <c r="I14" s="92">
        <v>0</v>
      </c>
    </row>
    <row r="15" spans="1:9" ht="10.5">
      <c r="A15" s="90">
        <f t="shared" si="2"/>
        <v>3</v>
      </c>
      <c r="B15" s="91">
        <f>B14+31</f>
        <v>32625</v>
      </c>
      <c r="C15" s="92">
        <f>Plan3!E19</f>
        <v>192.12906740145786</v>
      </c>
      <c r="D15" s="92">
        <f>Plan3!F19</f>
        <v>-22.13906740145785</v>
      </c>
      <c r="E15" s="92">
        <f t="shared" si="0"/>
        <v>169.99</v>
      </c>
      <c r="F15" s="93">
        <f>Plan6!E19</f>
        <v>149.40361028855284</v>
      </c>
      <c r="G15" s="92">
        <f>Plan6!F19</f>
        <v>-1.3736102885528396</v>
      </c>
      <c r="H15" s="92">
        <f t="shared" si="1"/>
        <v>148.03</v>
      </c>
      <c r="I15" s="92">
        <v>0</v>
      </c>
    </row>
    <row r="16" spans="1:9" ht="10.5">
      <c r="A16" s="90">
        <f t="shared" si="2"/>
        <v>4</v>
      </c>
      <c r="B16" s="91">
        <f>B15+30</f>
        <v>32655</v>
      </c>
      <c r="C16" s="92">
        <f>Plan3!E20</f>
        <v>214.17075934276554</v>
      </c>
      <c r="D16" s="92">
        <f>Plan3!F20</f>
        <v>-44.180759342765526</v>
      </c>
      <c r="E16" s="92">
        <f t="shared" si="0"/>
        <v>169.99</v>
      </c>
      <c r="F16" s="93">
        <f>Plan6!E20</f>
        <v>164.27846968399643</v>
      </c>
      <c r="G16" s="92">
        <f>Plan6!F20</f>
        <v>-16.248469683996433</v>
      </c>
      <c r="H16" s="92">
        <f t="shared" si="1"/>
        <v>148.03</v>
      </c>
      <c r="I16" s="92">
        <v>0</v>
      </c>
    </row>
    <row r="17" spans="1:9" ht="15" customHeight="1">
      <c r="A17" s="90">
        <f t="shared" si="2"/>
        <v>5</v>
      </c>
      <c r="B17" s="91">
        <f>B16+31</f>
        <v>32686</v>
      </c>
      <c r="C17" s="92">
        <f>Plan3!E21</f>
        <v>237.75920913070095</v>
      </c>
      <c r="D17" s="92">
        <f>Plan3!F21</f>
        <v>-53.349209130700956</v>
      </c>
      <c r="E17" s="92">
        <f t="shared" si="0"/>
        <v>184.41</v>
      </c>
      <c r="F17" s="93">
        <f>Plan6!E21</f>
        <v>179.84986568795784</v>
      </c>
      <c r="G17" s="92">
        <f>Plan6!F21</f>
        <v>-19.342858190466842</v>
      </c>
      <c r="H17" s="92">
        <f t="shared" si="1"/>
        <v>160.507007497491</v>
      </c>
      <c r="I17" s="92">
        <f aca="true" t="shared" si="3" ref="I17:I51">E17-H17</f>
        <v>23.902992502508994</v>
      </c>
    </row>
    <row r="18" spans="1:9" ht="10.5">
      <c r="A18" s="90">
        <f t="shared" si="2"/>
        <v>6</v>
      </c>
      <c r="B18" s="91">
        <f>B17+30</f>
        <v>32716</v>
      </c>
      <c r="C18" s="92">
        <f>Plan3!E22</f>
        <v>261.55106547955586</v>
      </c>
      <c r="D18" s="92">
        <f>Plan3!F22</f>
        <v>-77.14106547955586</v>
      </c>
      <c r="E18" s="92">
        <f t="shared" si="0"/>
        <v>184.41</v>
      </c>
      <c r="F18" s="93">
        <f>Plan6!E22</f>
        <v>195.0644378839813</v>
      </c>
      <c r="G18" s="92">
        <f>Plan6!F22</f>
        <v>-34.557430386490296</v>
      </c>
      <c r="H18" s="92">
        <f t="shared" si="1"/>
        <v>160.507007497491</v>
      </c>
      <c r="I18" s="92">
        <f t="shared" si="3"/>
        <v>23.902992502508994</v>
      </c>
    </row>
    <row r="19" spans="1:9" ht="10.5">
      <c r="A19" s="90">
        <f t="shared" si="2"/>
        <v>7</v>
      </c>
      <c r="B19" s="91">
        <f>B18+31</f>
        <v>32747</v>
      </c>
      <c r="C19" s="92">
        <f>Plan3!E23</f>
        <v>326.8645335208976</v>
      </c>
      <c r="D19" s="92">
        <f>Plan3!F23</f>
        <v>-124.18453352089762</v>
      </c>
      <c r="E19" s="92">
        <f t="shared" si="0"/>
        <v>202.68</v>
      </c>
      <c r="F19" s="93">
        <f>Plan6!E23</f>
        <v>240.72866458656108</v>
      </c>
      <c r="G19" s="92">
        <f>Plan6!F23</f>
        <v>-64.3097378494455</v>
      </c>
      <c r="H19" s="92">
        <f t="shared" si="1"/>
        <v>176.41892673711558</v>
      </c>
      <c r="I19" s="92">
        <f t="shared" si="3"/>
        <v>26.261073262884423</v>
      </c>
    </row>
    <row r="20" spans="1:9" ht="10.5">
      <c r="A20" s="90">
        <f t="shared" si="2"/>
        <v>8</v>
      </c>
      <c r="B20" s="91">
        <f>B19+31</f>
        <v>32778</v>
      </c>
      <c r="C20" s="92">
        <f>Plan3!E24</f>
        <v>421.62855970984384</v>
      </c>
      <c r="D20" s="92">
        <f>Plan3!F24</f>
        <v>-218.94855970984383</v>
      </c>
      <c r="E20" s="92">
        <f t="shared" si="0"/>
        <v>202.68</v>
      </c>
      <c r="F20" s="93">
        <f>Plan6!E24</f>
        <v>306.7309332035368</v>
      </c>
      <c r="G20" s="92">
        <f>Plan6!F24</f>
        <v>-130.3120064664212</v>
      </c>
      <c r="H20" s="92">
        <f t="shared" si="1"/>
        <v>176.41892673711558</v>
      </c>
      <c r="I20" s="92">
        <f t="shared" si="3"/>
        <v>26.261073262884423</v>
      </c>
    </row>
    <row r="21" spans="1:9" ht="10.5">
      <c r="A21" s="90">
        <f t="shared" si="2"/>
        <v>9</v>
      </c>
      <c r="B21" s="91">
        <f>B20+30</f>
        <v>32808</v>
      </c>
      <c r="C21" s="92">
        <f>Plan3!E25</f>
        <v>546.9355653101297</v>
      </c>
      <c r="D21" s="92">
        <f>Plan3!F25</f>
        <v>-162.61556531012974</v>
      </c>
      <c r="E21" s="92">
        <f t="shared" si="0"/>
        <v>384.32</v>
      </c>
      <c r="F21" s="93">
        <f>Plan6!E25</f>
        <v>393.0269824581313</v>
      </c>
      <c r="G21" s="92">
        <f>Plan6!F25</f>
        <v>-58.48569607758924</v>
      </c>
      <c r="H21" s="92">
        <f t="shared" si="1"/>
        <v>334.54128638054203</v>
      </c>
      <c r="I21" s="92">
        <f t="shared" si="3"/>
        <v>49.77871361945796</v>
      </c>
    </row>
    <row r="22" spans="1:9" ht="10.5">
      <c r="A22" s="90">
        <f t="shared" si="2"/>
        <v>10</v>
      </c>
      <c r="B22" s="91">
        <f>B21+31</f>
        <v>32839</v>
      </c>
      <c r="C22" s="92">
        <f>Plan3!E26</f>
        <v>744.3474905703814</v>
      </c>
      <c r="D22" s="92">
        <f>Plan3!F26</f>
        <v>-270.94749057038143</v>
      </c>
      <c r="E22" s="92">
        <f t="shared" si="0"/>
        <v>473.4</v>
      </c>
      <c r="F22" s="93">
        <f>Plan6!E26</f>
        <v>528.6423953632952</v>
      </c>
      <c r="G22" s="92">
        <f>Plan6!F26</f>
        <v>-116.55463575528995</v>
      </c>
      <c r="H22" s="92">
        <f t="shared" si="1"/>
        <v>412.0877596080053</v>
      </c>
      <c r="I22" s="92">
        <f t="shared" si="3"/>
        <v>61.31224039199469</v>
      </c>
    </row>
    <row r="23" spans="1:9" ht="10.5">
      <c r="A23" s="90">
        <f t="shared" si="2"/>
        <v>11</v>
      </c>
      <c r="B23" s="91">
        <f>B22+30</f>
        <v>32869</v>
      </c>
      <c r="C23" s="92">
        <f>Plan3!E27</f>
        <v>1025.9711251890353</v>
      </c>
      <c r="D23" s="92">
        <f>Plan3!F27</f>
        <v>-413.03112518903527</v>
      </c>
      <c r="E23" s="92">
        <f t="shared" si="0"/>
        <v>612.94</v>
      </c>
      <c r="F23" s="93">
        <f>Plan6!E27</f>
        <v>720.2085182398649</v>
      </c>
      <c r="G23" s="92">
        <f>Plan6!F27</f>
        <v>-186.64279417114756</v>
      </c>
      <c r="H23" s="92">
        <f t="shared" si="1"/>
        <v>533.5657240687174</v>
      </c>
      <c r="I23" s="92">
        <f t="shared" si="3"/>
        <v>79.37427593128268</v>
      </c>
    </row>
    <row r="24" spans="1:9" ht="10.5">
      <c r="A24" s="90">
        <f t="shared" si="2"/>
        <v>12</v>
      </c>
      <c r="B24" s="91">
        <f>B23+31</f>
        <v>32900</v>
      </c>
      <c r="C24" s="92">
        <f>Plan3!E28</f>
        <v>1453.553964256516</v>
      </c>
      <c r="D24" s="92">
        <f>Plan3!F28</f>
        <v>87.77603574348382</v>
      </c>
      <c r="E24" s="92">
        <f t="shared" si="0"/>
        <v>1541.33</v>
      </c>
      <c r="F24" s="93">
        <f>Plan6!E28</f>
        <v>1008.8021112100422</v>
      </c>
      <c r="G24" s="92">
        <f>Plan6!F28</f>
        <v>332.93838586770755</v>
      </c>
      <c r="H24" s="92">
        <f t="shared" si="1"/>
        <v>1341.7404970777498</v>
      </c>
      <c r="I24" s="92">
        <f t="shared" si="3"/>
        <v>199.58950292225018</v>
      </c>
    </row>
    <row r="25" spans="1:9" ht="10.5">
      <c r="A25" s="90">
        <f>A24+1</f>
        <v>13</v>
      </c>
      <c r="B25" s="91">
        <f>B23+62</f>
        <v>32931</v>
      </c>
      <c r="C25" s="92">
        <f>Plan3!E29</f>
        <v>2228.5096523977636</v>
      </c>
      <c r="D25" s="92">
        <f>Plan3!F29</f>
        <v>-152.55965239776333</v>
      </c>
      <c r="E25" s="92">
        <f t="shared" si="0"/>
        <v>2075.9500000000003</v>
      </c>
      <c r="F25" s="93">
        <f>Plan6!E30</f>
        <v>1559.4606789033262</v>
      </c>
      <c r="G25" s="92">
        <f>Plan6!F30</f>
        <v>247.67748450655654</v>
      </c>
      <c r="H25" s="92">
        <f t="shared" si="1"/>
        <v>1807.1381634098827</v>
      </c>
      <c r="I25" s="92">
        <f t="shared" si="3"/>
        <v>268.81183659011754</v>
      </c>
    </row>
    <row r="26" spans="1:9" ht="10.5">
      <c r="A26" s="90">
        <f aca="true" t="shared" si="4" ref="A26:A36">A25+1</f>
        <v>14</v>
      </c>
      <c r="B26" s="91">
        <f>B25+28</f>
        <v>32959</v>
      </c>
      <c r="C26" s="92">
        <f>Plan3!E30</f>
        <v>3476.7268692644884</v>
      </c>
      <c r="D26" s="92">
        <f>Plan3!F30</f>
        <v>-440.9068692644887</v>
      </c>
      <c r="E26" s="92">
        <f t="shared" si="0"/>
        <v>3035.8199999999997</v>
      </c>
      <c r="F26" s="93">
        <f>Plan6!E31</f>
        <v>2407.7963918981786</v>
      </c>
      <c r="G26" s="92">
        <f>Plan6!F31</f>
        <v>234.9213511799262</v>
      </c>
      <c r="H26" s="92">
        <f t="shared" si="1"/>
        <v>2642.717743078105</v>
      </c>
      <c r="I26" s="92">
        <f t="shared" si="3"/>
        <v>393.1022569218949</v>
      </c>
    </row>
    <row r="27" spans="1:9" ht="10.5">
      <c r="A27" s="90">
        <f t="shared" si="4"/>
        <v>15</v>
      </c>
      <c r="B27" s="91">
        <f>B26+31</f>
        <v>32990</v>
      </c>
      <c r="C27" s="92">
        <f>Plan3!E31</f>
        <v>6005.810616851638</v>
      </c>
      <c r="D27" s="92">
        <f>Plan3!F31</f>
        <v>-780.8306168516374</v>
      </c>
      <c r="E27" s="92">
        <f t="shared" si="0"/>
        <v>5224.9800000000005</v>
      </c>
      <c r="F27" s="93">
        <f>Plan6!E32</f>
        <v>4120.276264867361</v>
      </c>
      <c r="G27" s="92">
        <f>Plan6!F32</f>
        <v>428.14750572122284</v>
      </c>
      <c r="H27" s="92">
        <f t="shared" si="1"/>
        <v>4548.4237705885835</v>
      </c>
      <c r="I27" s="92">
        <f t="shared" si="3"/>
        <v>676.556229411417</v>
      </c>
    </row>
    <row r="28" spans="1:9" ht="10.5">
      <c r="A28" s="90">
        <f t="shared" si="4"/>
        <v>16</v>
      </c>
      <c r="B28" s="91">
        <f>B27+30</f>
        <v>33020</v>
      </c>
      <c r="C28" s="92">
        <f>Plan3!E32</f>
        <v>11067.906210470917</v>
      </c>
      <c r="D28" s="92">
        <f>Plan3!F32</f>
        <v>-2040.1862104709162</v>
      </c>
      <c r="E28" s="92">
        <f t="shared" si="0"/>
        <v>9027.720000000001</v>
      </c>
      <c r="F28" s="93">
        <f>Plan6!E33</f>
        <v>7525.964866462976</v>
      </c>
      <c r="G28" s="92">
        <f>Plan6!F33</f>
        <v>332.8107743658802</v>
      </c>
      <c r="H28" s="92">
        <f t="shared" si="1"/>
        <v>7858.775640828856</v>
      </c>
      <c r="I28" s="92">
        <f t="shared" si="3"/>
        <v>1168.9443591711452</v>
      </c>
    </row>
    <row r="29" spans="1:9" ht="10.5">
      <c r="A29" s="90">
        <f t="shared" si="4"/>
        <v>17</v>
      </c>
      <c r="B29" s="91">
        <f>B28+31</f>
        <v>33051</v>
      </c>
      <c r="C29" s="92">
        <f>Plan3!E33</f>
        <v>11070.594421744108</v>
      </c>
      <c r="D29" s="92">
        <f>Plan3!F33</f>
        <v>-2042.8744217441072</v>
      </c>
      <c r="E29" s="92">
        <f t="shared" si="0"/>
        <v>9027.720000000001</v>
      </c>
      <c r="F29" s="93">
        <f>Plan6!E34</f>
        <v>7404.679051880896</v>
      </c>
      <c r="G29" s="92">
        <f>Plan6!F34</f>
        <v>454.0965889479603</v>
      </c>
      <c r="H29" s="92">
        <f t="shared" si="1"/>
        <v>7858.775640828856</v>
      </c>
      <c r="I29" s="92">
        <f t="shared" si="3"/>
        <v>1168.9443591711452</v>
      </c>
    </row>
    <row r="30" spans="1:9" ht="10.5">
      <c r="A30" s="90">
        <f t="shared" si="4"/>
        <v>18</v>
      </c>
      <c r="B30" s="91">
        <f>B29+30</f>
        <v>33081</v>
      </c>
      <c r="C30" s="92">
        <f>Plan3!E34</f>
        <v>11668.904537987464</v>
      </c>
      <c r="D30" s="92">
        <f>Plan3!F34</f>
        <v>-2641.184537987463</v>
      </c>
      <c r="E30" s="92">
        <f t="shared" si="0"/>
        <v>9027.720000000001</v>
      </c>
      <c r="F30" s="93">
        <f>Plan6!E35</f>
        <v>7682.624069249004</v>
      </c>
      <c r="G30" s="92">
        <f>Plan6!F35</f>
        <v>176.15157157985232</v>
      </c>
      <c r="H30" s="92">
        <f t="shared" si="1"/>
        <v>7858.775640828856</v>
      </c>
      <c r="I30" s="92">
        <f t="shared" si="3"/>
        <v>1168.9443591711452</v>
      </c>
    </row>
    <row r="31" spans="1:9" ht="10.5">
      <c r="A31" s="90">
        <f t="shared" si="4"/>
        <v>19</v>
      </c>
      <c r="B31" s="91">
        <f>B30+31</f>
        <v>33112</v>
      </c>
      <c r="C31" s="92">
        <f>Plan3!E35</f>
        <v>12798.323360476148</v>
      </c>
      <c r="D31" s="92">
        <f>Plan3!F35</f>
        <v>-3284.9233604761484</v>
      </c>
      <c r="E31" s="92">
        <f t="shared" si="0"/>
        <v>9513.4</v>
      </c>
      <c r="F31" s="93">
        <f>Plan6!E36</f>
        <v>8298.528769857026</v>
      </c>
      <c r="G31" s="92">
        <f>Plan6!F36</f>
        <v>-16.96089492781357</v>
      </c>
      <c r="H31" s="92">
        <f t="shared" si="1"/>
        <v>8281.567874929213</v>
      </c>
      <c r="I31" s="92">
        <f t="shared" si="3"/>
        <v>1231.8321250707868</v>
      </c>
    </row>
    <row r="32" spans="1:9" ht="10.5">
      <c r="A32" s="90">
        <f t="shared" si="4"/>
        <v>20</v>
      </c>
      <c r="B32" s="91">
        <f>B31+31</f>
        <v>33143</v>
      </c>
      <c r="C32" s="92">
        <f>Plan3!E36</f>
        <v>14192.196583979763</v>
      </c>
      <c r="D32" s="92">
        <f>Plan3!F36</f>
        <v>-3764.5565839797637</v>
      </c>
      <c r="E32" s="92">
        <f t="shared" si="0"/>
        <v>10427.64</v>
      </c>
      <c r="F32" s="93">
        <f>Plan6!E37</f>
        <v>9063.524835585451</v>
      </c>
      <c r="G32" s="92">
        <f>Plan6!F37</f>
        <v>13.915679616984562</v>
      </c>
      <c r="H32" s="92">
        <f t="shared" si="1"/>
        <v>9077.440515202436</v>
      </c>
      <c r="I32" s="92">
        <f t="shared" si="3"/>
        <v>1350.1994847975639</v>
      </c>
    </row>
    <row r="33" spans="1:9" ht="10.5">
      <c r="A33" s="90">
        <f t="shared" si="4"/>
        <v>21</v>
      </c>
      <c r="B33" s="91">
        <f>B32+30</f>
        <v>33173</v>
      </c>
      <c r="C33" s="92">
        <f>Plan3!E37</f>
        <v>15709.36736216224</v>
      </c>
      <c r="D33" s="92">
        <f>Plan3!F37</f>
        <v>-4156.587362162241</v>
      </c>
      <c r="E33" s="92">
        <f t="shared" si="0"/>
        <v>11552.779999999999</v>
      </c>
      <c r="F33" s="93">
        <f>Plan6!E38</f>
        <v>9879.727811188168</v>
      </c>
      <c r="G33" s="92">
        <f>Plan6!F38</f>
        <v>177.182545059306</v>
      </c>
      <c r="H33" s="92">
        <f t="shared" si="1"/>
        <v>10056.910356247474</v>
      </c>
      <c r="I33" s="92">
        <f t="shared" si="3"/>
        <v>1495.869643752525</v>
      </c>
    </row>
    <row r="34" spans="1:9" ht="10.5">
      <c r="A34" s="90">
        <f t="shared" si="4"/>
        <v>22</v>
      </c>
      <c r="B34" s="91">
        <f>B33+31</f>
        <v>33204</v>
      </c>
      <c r="C34" s="92">
        <f>Plan3!E38</f>
        <v>17745.218692723334</v>
      </c>
      <c r="D34" s="92">
        <f>Plan3!F38</f>
        <v>-4970.158692723335</v>
      </c>
      <c r="E34" s="92">
        <f t="shared" si="0"/>
        <v>12775.06</v>
      </c>
      <c r="F34" s="93">
        <f>Plan6!E39</f>
        <v>10992.301360539777</v>
      </c>
      <c r="G34" s="92">
        <f>Plan6!F39</f>
        <v>128.63349338134503</v>
      </c>
      <c r="H34" s="92">
        <f t="shared" si="1"/>
        <v>11120.934853921122</v>
      </c>
      <c r="I34" s="92">
        <f t="shared" si="3"/>
        <v>1654.1251460788772</v>
      </c>
    </row>
    <row r="35" spans="1:9" ht="10.5">
      <c r="A35" s="90">
        <f t="shared" si="4"/>
        <v>23</v>
      </c>
      <c r="B35" s="91">
        <f>B34+30</f>
        <v>33234</v>
      </c>
      <c r="C35" s="92">
        <f>Plan3!E39</f>
        <v>20200.432236860943</v>
      </c>
      <c r="D35" s="92">
        <f>Plan3!F39</f>
        <v>-5783.782236860941</v>
      </c>
      <c r="E35" s="92">
        <f t="shared" si="0"/>
        <v>14416.650000000001</v>
      </c>
      <c r="F35" s="93">
        <f>Plan6!E40</f>
        <v>12325.290160057939</v>
      </c>
      <c r="G35" s="92">
        <f>Plan6!F40</f>
        <v>224.68659910264068</v>
      </c>
      <c r="H35" s="92">
        <f t="shared" si="1"/>
        <v>12549.97675916058</v>
      </c>
      <c r="I35" s="92">
        <f t="shared" si="3"/>
        <v>1866.6732408394219</v>
      </c>
    </row>
    <row r="36" spans="1:9" ht="10.5">
      <c r="A36" s="90">
        <f t="shared" si="4"/>
        <v>24</v>
      </c>
      <c r="B36" s="91">
        <f>B35+31</f>
        <v>33265</v>
      </c>
      <c r="C36" s="92">
        <f>Plan3!E40</f>
        <v>23588.556626982667</v>
      </c>
      <c r="D36" s="92">
        <f>Plan3!F40</f>
        <v>266.52337301733496</v>
      </c>
      <c r="E36" s="92">
        <f t="shared" si="0"/>
        <v>23855.08</v>
      </c>
      <c r="F36" s="93">
        <f>Plan6!E41</f>
        <v>14180.359879746959</v>
      </c>
      <c r="G36" s="92">
        <f>Plan6!F41</f>
        <v>6585.957911564919</v>
      </c>
      <c r="H36" s="92">
        <f t="shared" si="1"/>
        <v>20766.317791311878</v>
      </c>
      <c r="I36" s="92">
        <f t="shared" si="3"/>
        <v>3088.762208688124</v>
      </c>
    </row>
    <row r="37" spans="1:9" ht="10.5">
      <c r="A37" s="90">
        <f>A36+1</f>
        <v>25</v>
      </c>
      <c r="B37" s="91">
        <f>B36+31</f>
        <v>33296</v>
      </c>
      <c r="C37" s="92">
        <f>Plan3!E41</f>
        <v>28119.12960093475</v>
      </c>
      <c r="D37" s="92">
        <f>Plan3!F41</f>
        <v>-294.56960093474845</v>
      </c>
      <c r="E37" s="92">
        <f t="shared" si="0"/>
        <v>27824.56</v>
      </c>
      <c r="F37" s="93">
        <f>Plan6!E43</f>
        <v>17325.893522332164</v>
      </c>
      <c r="G37" s="92">
        <f>Plan6!F43</f>
        <v>6895.939150533526</v>
      </c>
      <c r="H37" s="92">
        <f t="shared" si="1"/>
        <v>24221.83267286569</v>
      </c>
      <c r="I37" s="92">
        <f t="shared" si="3"/>
        <v>3602.727327134311</v>
      </c>
    </row>
    <row r="38" spans="1:9" ht="10.5">
      <c r="A38" s="90">
        <f aca="true" t="shared" si="5" ref="A38:A48">A37+1</f>
        <v>26</v>
      </c>
      <c r="B38" s="91">
        <f>B37+28</f>
        <v>33324</v>
      </c>
      <c r="C38" s="92">
        <f>Plan3!E42</f>
        <v>31374.837464588792</v>
      </c>
      <c r="D38" s="92">
        <f>Plan3!F42</f>
        <v>1844.9025354112055</v>
      </c>
      <c r="E38" s="92">
        <f t="shared" si="0"/>
        <v>33219.74</v>
      </c>
      <c r="F38" s="93">
        <f>Plan6!E44</f>
        <v>19027.45473758613</v>
      </c>
      <c r="G38" s="92">
        <f>Plan6!F44</f>
        <v>9891.002902847475</v>
      </c>
      <c r="H38" s="92">
        <f t="shared" si="1"/>
        <v>28918.457640433604</v>
      </c>
      <c r="I38" s="92">
        <f t="shared" si="3"/>
        <v>4301.282359566394</v>
      </c>
    </row>
    <row r="39" spans="1:9" ht="10.5">
      <c r="A39" s="90">
        <f t="shared" si="5"/>
        <v>27</v>
      </c>
      <c r="B39" s="91">
        <f>B38+31</f>
        <v>33355</v>
      </c>
      <c r="C39" s="92">
        <f>Plan3!E43</f>
        <v>34146.157778425506</v>
      </c>
      <c r="D39" s="92">
        <f>Plan3!F43</f>
        <v>3144.1922215745</v>
      </c>
      <c r="E39" s="92">
        <f t="shared" si="0"/>
        <v>37290.350000000006</v>
      </c>
      <c r="F39" s="93">
        <f>Plan6!E45</f>
        <v>20367.70064032532</v>
      </c>
      <c r="G39" s="92">
        <f>Plan6!F45</f>
        <v>12094.318106953957</v>
      </c>
      <c r="H39" s="92">
        <f t="shared" si="1"/>
        <v>32462.01874727928</v>
      </c>
      <c r="I39" s="92">
        <f t="shared" si="3"/>
        <v>4828.331252720727</v>
      </c>
    </row>
    <row r="40" spans="1:9" ht="10.5">
      <c r="A40" s="90">
        <f t="shared" si="5"/>
        <v>28</v>
      </c>
      <c r="B40" s="91">
        <f>B39+30</f>
        <v>33385</v>
      </c>
      <c r="C40" s="92">
        <f>Plan3!E44</f>
        <v>36979.20282479564</v>
      </c>
      <c r="D40" s="92">
        <f>Plan3!F44</f>
        <v>311.14717520436534</v>
      </c>
      <c r="E40" s="92">
        <f t="shared" si="0"/>
        <v>37290.350000000006</v>
      </c>
      <c r="F40" s="93">
        <f>Plan6!E46</f>
        <v>21687.316747820703</v>
      </c>
      <c r="G40" s="92">
        <f>Plan6!F46</f>
        <v>10774.701999458575</v>
      </c>
      <c r="H40" s="92">
        <f t="shared" si="1"/>
        <v>32462.01874727928</v>
      </c>
      <c r="I40" s="92">
        <f t="shared" si="3"/>
        <v>4828.331252720727</v>
      </c>
    </row>
    <row r="41" spans="1:9" ht="10.5">
      <c r="A41" s="90">
        <f t="shared" si="5"/>
        <v>29</v>
      </c>
      <c r="B41" s="91">
        <f>B40+31</f>
        <v>33416</v>
      </c>
      <c r="C41" s="92">
        <f>Plan3!E45</f>
        <v>40060.20598738293</v>
      </c>
      <c r="D41" s="92">
        <f>Plan3!F45</f>
        <v>0</v>
      </c>
      <c r="E41" s="92">
        <f t="shared" si="0"/>
        <v>40060.20598738293</v>
      </c>
      <c r="F41" s="93">
        <f>Plan6!E47</f>
        <v>23098.933203751378</v>
      </c>
      <c r="G41" s="92">
        <f>Plan6!F47</f>
        <v>0</v>
      </c>
      <c r="H41" s="92">
        <f t="shared" si="1"/>
        <v>23098.933203751378</v>
      </c>
      <c r="I41" s="92">
        <f t="shared" si="3"/>
        <v>16961.27278363155</v>
      </c>
    </row>
    <row r="42" spans="1:9" ht="10.5">
      <c r="A42" s="90">
        <f t="shared" si="5"/>
        <v>30</v>
      </c>
      <c r="B42" s="91">
        <f>B41+30</f>
        <v>33446</v>
      </c>
      <c r="C42" s="92">
        <f>Plan3!E46</f>
        <v>44310.71402326221</v>
      </c>
      <c r="D42" s="92">
        <f>Plan3!F46</f>
        <v>0</v>
      </c>
      <c r="E42" s="92">
        <f t="shared" si="0"/>
        <v>44310.71402326221</v>
      </c>
      <c r="F42" s="93">
        <f>Plan6!E48</f>
        <v>24899.812015934163</v>
      </c>
      <c r="G42" s="92">
        <f>Plan6!F48</f>
        <v>0</v>
      </c>
      <c r="H42" s="92">
        <f t="shared" si="1"/>
        <v>24899.812015934163</v>
      </c>
      <c r="I42" s="92">
        <f t="shared" si="3"/>
        <v>19410.902007328048</v>
      </c>
    </row>
    <row r="43" spans="1:9" ht="10.5">
      <c r="A43" s="90">
        <f t="shared" si="5"/>
        <v>31</v>
      </c>
      <c r="B43" s="91">
        <f>B42+31</f>
        <v>33477</v>
      </c>
      <c r="C43" s="92">
        <f>Plan3!E47</f>
        <v>48999.363606205654</v>
      </c>
      <c r="D43" s="92">
        <f>Plan3!F47</f>
        <v>0</v>
      </c>
      <c r="E43" s="92">
        <f t="shared" si="0"/>
        <v>48999.363606205654</v>
      </c>
      <c r="F43" s="93">
        <f>Plan6!E49</f>
        <v>26855.764612957748</v>
      </c>
      <c r="G43" s="92">
        <f>Plan6!F49</f>
        <v>0</v>
      </c>
      <c r="H43" s="92">
        <f t="shared" si="1"/>
        <v>26855.764612957748</v>
      </c>
      <c r="I43" s="92">
        <f t="shared" si="3"/>
        <v>22143.598993247906</v>
      </c>
    </row>
    <row r="44" spans="1:9" ht="10.5">
      <c r="A44" s="90">
        <f t="shared" si="5"/>
        <v>32</v>
      </c>
      <c r="B44" s="91">
        <f>B43+31</f>
        <v>33508</v>
      </c>
      <c r="C44" s="92">
        <f>Plan3!E48</f>
        <v>54784.130474827085</v>
      </c>
      <c r="D44" s="92">
        <f>Plan3!F48</f>
        <v>0</v>
      </c>
      <c r="E44" s="92">
        <f t="shared" si="0"/>
        <v>54784.130474827085</v>
      </c>
      <c r="F44" s="93">
        <f>Plan6!E50</f>
        <v>29316.268760909956</v>
      </c>
      <c r="G44" s="92">
        <f>Plan6!F50</f>
        <v>0</v>
      </c>
      <c r="H44" s="92">
        <f t="shared" si="1"/>
        <v>29316.268760909956</v>
      </c>
      <c r="I44" s="92">
        <f t="shared" si="3"/>
        <v>25467.86171391713</v>
      </c>
    </row>
    <row r="45" spans="1:9" ht="10.5">
      <c r="A45" s="90">
        <f t="shared" si="5"/>
        <v>33</v>
      </c>
      <c r="B45" s="91">
        <f>B44+30</f>
        <v>33538</v>
      </c>
      <c r="C45" s="92">
        <f>Plan3!E49</f>
        <v>64705.20779903542</v>
      </c>
      <c r="D45" s="92">
        <f>Plan3!F49</f>
        <v>-27414.857799035417</v>
      </c>
      <c r="E45" s="92">
        <f t="shared" si="0"/>
        <v>37290.350000000006</v>
      </c>
      <c r="F45" s="93">
        <f>Plan6!E51</f>
        <v>33875.90854764603</v>
      </c>
      <c r="G45" s="92">
        <f>Plan6!F51</f>
        <v>-1413.8898003667528</v>
      </c>
      <c r="H45" s="92">
        <f t="shared" si="1"/>
        <v>32462.01874727928</v>
      </c>
      <c r="I45" s="92">
        <f t="shared" si="3"/>
        <v>4828.331252720727</v>
      </c>
    </row>
    <row r="46" spans="1:9" ht="10.5">
      <c r="A46" s="90">
        <f t="shared" si="5"/>
        <v>34</v>
      </c>
      <c r="B46" s="91">
        <f>B45+31</f>
        <v>33569</v>
      </c>
      <c r="C46" s="92">
        <f>Plan3!E50</f>
        <v>76937.74760254977</v>
      </c>
      <c r="D46" s="92">
        <f>Plan3!F50</f>
        <v>-33680.94760254978</v>
      </c>
      <c r="E46" s="92">
        <f t="shared" si="0"/>
        <v>43256.799999999996</v>
      </c>
      <c r="F46" s="93">
        <f>Plan6!E52</f>
        <v>39665.129494694556</v>
      </c>
      <c r="G46" s="92">
        <f>Plan6!F52</f>
        <v>-2009.187326149331</v>
      </c>
      <c r="H46" s="92">
        <f t="shared" si="1"/>
        <v>37655.942168545225</v>
      </c>
      <c r="I46" s="92">
        <f t="shared" si="3"/>
        <v>5600.85783145477</v>
      </c>
    </row>
    <row r="47" spans="1:9" ht="10.5">
      <c r="A47" s="90">
        <f t="shared" si="5"/>
        <v>35</v>
      </c>
      <c r="B47" s="91">
        <f>B46+30</f>
        <v>33599</v>
      </c>
      <c r="C47" s="92">
        <f>Plan3!E51</f>
        <v>98468.14189608693</v>
      </c>
      <c r="D47" s="92">
        <f>Plan3!F51</f>
        <v>-46127.42189608693</v>
      </c>
      <c r="E47" s="92">
        <f t="shared" si="0"/>
        <v>52340.72</v>
      </c>
      <c r="F47" s="93">
        <f>Plan6!E53</f>
        <v>50042.084848772174</v>
      </c>
      <c r="G47" s="92">
        <f>Plan6!F53</f>
        <v>-4478.393429230768</v>
      </c>
      <c r="H47" s="92">
        <f t="shared" si="1"/>
        <v>45563.69141954141</v>
      </c>
      <c r="I47" s="92">
        <f t="shared" si="3"/>
        <v>6777.028580458595</v>
      </c>
    </row>
    <row r="48" spans="1:9" ht="10.5">
      <c r="A48" s="90">
        <f t="shared" si="5"/>
        <v>36</v>
      </c>
      <c r="B48" s="91">
        <f>B47+31</f>
        <v>33630</v>
      </c>
      <c r="C48" s="92">
        <f>Plan3!E52</f>
        <v>127661.12905073944</v>
      </c>
      <c r="D48" s="92">
        <f>Plan3!F52</f>
        <v>-9658.509050739449</v>
      </c>
      <c r="E48" s="92">
        <f t="shared" si="0"/>
        <v>118002.62</v>
      </c>
      <c r="F48" s="93">
        <f>Plan6!E54</f>
        <v>63966.495383378904</v>
      </c>
      <c r="G48" s="92">
        <f>Plan6!F54</f>
        <v>38757.26506109728</v>
      </c>
      <c r="H48" s="92">
        <f t="shared" si="1"/>
        <v>102723.76044447618</v>
      </c>
      <c r="I48" s="92">
        <f t="shared" si="3"/>
        <v>15278.859555523813</v>
      </c>
    </row>
    <row r="49" spans="1:9" ht="10.5">
      <c r="A49" s="90">
        <f>A48+1</f>
        <v>37</v>
      </c>
      <c r="B49" s="91">
        <f>B48+31</f>
        <v>33661</v>
      </c>
      <c r="C49" s="92">
        <f>Plan3!E53</f>
        <v>159471.7909967195</v>
      </c>
      <c r="D49" s="92">
        <f>Plan3!F53</f>
        <v>-41469.170996719506</v>
      </c>
      <c r="E49" s="92">
        <f t="shared" si="0"/>
        <v>118002.62</v>
      </c>
      <c r="F49" s="106">
        <f>Plan6!E56</f>
        <v>81244.02525196045</v>
      </c>
      <c r="G49" s="92">
        <f>Plan6!F56</f>
        <v>21479.735192515727</v>
      </c>
      <c r="H49" s="92">
        <f t="shared" si="1"/>
        <v>102723.76044447618</v>
      </c>
      <c r="I49" s="92">
        <f t="shared" si="3"/>
        <v>15278.859555523813</v>
      </c>
    </row>
    <row r="50" spans="1:9" ht="10.5">
      <c r="A50" s="90">
        <f>A49+1</f>
        <v>38</v>
      </c>
      <c r="B50" s="91">
        <f>B49+31</f>
        <v>33692</v>
      </c>
      <c r="C50" s="92">
        <f>Plan3!E54</f>
        <v>203767.22399782957</v>
      </c>
      <c r="D50" s="92">
        <f>Plan3!F54</f>
        <v>-52133.863997829554</v>
      </c>
      <c r="E50" s="92">
        <f t="shared" si="0"/>
        <v>151633.36000000002</v>
      </c>
      <c r="F50" s="106">
        <f>Plan6!E57</f>
        <v>102261.61265428107</v>
      </c>
      <c r="G50" s="92">
        <f>Plan6!F57</f>
        <v>29738.418894437214</v>
      </c>
      <c r="H50" s="92">
        <f t="shared" si="1"/>
        <v>132000.03154871828</v>
      </c>
      <c r="I50" s="92">
        <f t="shared" si="3"/>
        <v>19633.328451281734</v>
      </c>
    </row>
    <row r="51" spans="1:9" ht="10.5">
      <c r="A51" s="90">
        <f>A50+1</f>
        <v>39</v>
      </c>
      <c r="B51" s="91">
        <f>B50+29</f>
        <v>33721</v>
      </c>
      <c r="C51" s="92">
        <f>Plan3!E55</f>
        <v>251222.15724937097</v>
      </c>
      <c r="D51" s="92">
        <f>Plan3!F55</f>
        <v>-99588.79724937095</v>
      </c>
      <c r="E51" s="92">
        <f t="shared" si="0"/>
        <v>151633.36000000002</v>
      </c>
      <c r="F51" s="106">
        <f>Plan6!E58</f>
        <v>124108.52569819157</v>
      </c>
      <c r="G51" s="92">
        <f>Plan6!F58</f>
        <v>7891.505850526708</v>
      </c>
      <c r="H51" s="92">
        <f t="shared" si="1"/>
        <v>132000.03154871828</v>
      </c>
      <c r="I51" s="92">
        <f t="shared" si="3"/>
        <v>19633.328451281734</v>
      </c>
    </row>
    <row r="52" spans="1:9" ht="10.5">
      <c r="A52" s="63" t="s">
        <v>0</v>
      </c>
      <c r="I52" s="65" t="s">
        <v>147</v>
      </c>
    </row>
    <row r="53" spans="1:9" ht="10.5">
      <c r="A53" s="63" t="s">
        <v>40</v>
      </c>
      <c r="I53" s="65" t="s">
        <v>81</v>
      </c>
    </row>
    <row r="54" ht="10.5">
      <c r="A54" s="63"/>
    </row>
    <row r="55" spans="1:7" ht="10.5">
      <c r="A55" s="60" t="s">
        <v>3</v>
      </c>
      <c r="C55" s="60" t="s">
        <v>188</v>
      </c>
      <c r="D55" s="60"/>
      <c r="E55" s="60"/>
      <c r="F55" s="60"/>
      <c r="G55" s="60"/>
    </row>
    <row r="56" spans="1:7" ht="10.5">
      <c r="A56" s="60" t="s">
        <v>4</v>
      </c>
      <c r="C56" s="60" t="s">
        <v>188</v>
      </c>
      <c r="D56" s="60"/>
      <c r="E56" s="60"/>
      <c r="F56" s="60"/>
      <c r="G56" s="60"/>
    </row>
    <row r="57" ht="10.5">
      <c r="A57" s="60"/>
    </row>
    <row r="58" spans="1:7" ht="10.5">
      <c r="A58" s="60"/>
      <c r="B58" s="60"/>
      <c r="C58" s="60" t="s">
        <v>146</v>
      </c>
      <c r="D58" s="60"/>
      <c r="E58" s="60"/>
      <c r="F58" s="60"/>
      <c r="G58" s="60"/>
    </row>
    <row r="60" ht="10.5">
      <c r="E60" s="60" t="s">
        <v>89</v>
      </c>
    </row>
    <row r="61" ht="11.25" thickBot="1">
      <c r="E61" s="60"/>
    </row>
    <row r="62" spans="1:9" s="141" customFormat="1" ht="61.5" customHeight="1" thickBot="1" thickTop="1">
      <c r="A62" s="150" t="s">
        <v>207</v>
      </c>
      <c r="B62" s="150" t="s">
        <v>5</v>
      </c>
      <c r="C62" s="150" t="s">
        <v>200</v>
      </c>
      <c r="D62" s="150" t="s">
        <v>201</v>
      </c>
      <c r="E62" s="150" t="s">
        <v>202</v>
      </c>
      <c r="F62" s="150" t="s">
        <v>203</v>
      </c>
      <c r="G62" s="150" t="s">
        <v>204</v>
      </c>
      <c r="H62" s="150" t="s">
        <v>205</v>
      </c>
      <c r="I62" s="150" t="s">
        <v>206</v>
      </c>
    </row>
    <row r="63" ht="11.25" thickTop="1"/>
    <row r="64" spans="1:9" ht="10.5">
      <c r="A64" s="90">
        <f>A51+1</f>
        <v>40</v>
      </c>
      <c r="B64" s="91">
        <f>B51+31</f>
        <v>33752</v>
      </c>
      <c r="C64" s="92">
        <f>Plan3!E75</f>
        <v>305914.1933645274</v>
      </c>
      <c r="D64" s="92">
        <f>Plan3!F75</f>
        <v>-15475.513364527375</v>
      </c>
      <c r="E64" s="92">
        <f>C64+D64</f>
        <v>290438.68000000005</v>
      </c>
      <c r="F64" s="93">
        <f>Plan6!E75</f>
        <v>148797.05088037183</v>
      </c>
      <c r="G64" s="92">
        <f>Plan6!F75</f>
        <v>104035.94698525415</v>
      </c>
      <c r="H64" s="92">
        <f aca="true" t="shared" si="6" ref="H64:H87">F64+G64</f>
        <v>252832.99786562598</v>
      </c>
      <c r="I64" s="92">
        <f aca="true" t="shared" si="7" ref="I64:I87">E64-H64</f>
        <v>37605.682134374074</v>
      </c>
    </row>
    <row r="65" spans="1:9" ht="10.5">
      <c r="A65" s="90">
        <f aca="true" t="shared" si="8" ref="A65:A72">A64+1</f>
        <v>41</v>
      </c>
      <c r="B65" s="91">
        <f>B64+30</f>
        <v>33782</v>
      </c>
      <c r="C65" s="92">
        <f>Plan3!E76</f>
        <v>367514.4238297165</v>
      </c>
      <c r="D65" s="92">
        <f>Plan3!F76</f>
        <v>-77075.74382971646</v>
      </c>
      <c r="E65" s="92">
        <f aca="true" t="shared" si="9" ref="E65:E87">C65+D65</f>
        <v>290438.68000000005</v>
      </c>
      <c r="F65" s="93">
        <f>Plan6!E76</f>
        <v>175693.62412928985</v>
      </c>
      <c r="G65" s="92">
        <f>Plan6!F76</f>
        <v>77139.37373633613</v>
      </c>
      <c r="H65" s="92">
        <f t="shared" si="6"/>
        <v>252832.99786562598</v>
      </c>
      <c r="I65" s="92">
        <f t="shared" si="7"/>
        <v>37605.682134374074</v>
      </c>
    </row>
    <row r="66" spans="1:9" ht="10.5">
      <c r="A66" s="90">
        <f t="shared" si="8"/>
        <v>42</v>
      </c>
      <c r="B66" s="91">
        <f>B65+31</f>
        <v>33813</v>
      </c>
      <c r="C66" s="92">
        <f>Plan3!E77</f>
        <v>448931.8702059164</v>
      </c>
      <c r="D66" s="92">
        <f>Plan3!F77</f>
        <v>-85883.52020591643</v>
      </c>
      <c r="E66" s="92">
        <f t="shared" si="9"/>
        <v>363048.35</v>
      </c>
      <c r="F66" s="93">
        <f>Plan6!E77</f>
        <v>211094.51036034335</v>
      </c>
      <c r="G66" s="92">
        <f>Plan6!F77</f>
        <v>104946.74197168907</v>
      </c>
      <c r="H66" s="92">
        <f t="shared" si="6"/>
        <v>316041.2523320324</v>
      </c>
      <c r="I66" s="92">
        <f t="shared" si="7"/>
        <v>47007.09766796755</v>
      </c>
    </row>
    <row r="67" spans="1:9" ht="10.5">
      <c r="A67" s="90">
        <f t="shared" si="8"/>
        <v>43</v>
      </c>
      <c r="B67" s="91">
        <f>B66+30</f>
        <v>33843</v>
      </c>
      <c r="C67" s="92">
        <f>Plan3!E78</f>
        <v>544830.8672608008</v>
      </c>
      <c r="D67" s="92">
        <f>Plan3!F78</f>
        <v>-181782.5172608008</v>
      </c>
      <c r="E67" s="92">
        <f t="shared" si="9"/>
        <v>363048.35</v>
      </c>
      <c r="F67" s="93">
        <f>Plan6!E78</f>
        <v>251891.8184807086</v>
      </c>
      <c r="G67" s="92">
        <f>Plan6!F78</f>
        <v>64149.43385132382</v>
      </c>
      <c r="H67" s="92">
        <f t="shared" si="6"/>
        <v>316041.2523320324</v>
      </c>
      <c r="I67" s="92">
        <f t="shared" si="7"/>
        <v>47007.09766796755</v>
      </c>
    </row>
    <row r="68" spans="1:9" ht="10.5">
      <c r="A68" s="90">
        <f t="shared" si="8"/>
        <v>44</v>
      </c>
      <c r="B68" s="91">
        <f>B67+31</f>
        <v>33874</v>
      </c>
      <c r="C68" s="92">
        <f>Plan3!E79</f>
        <v>676528.8473079517</v>
      </c>
      <c r="D68" s="92">
        <f>Plan3!F79</f>
        <v>-36099.587307951646</v>
      </c>
      <c r="E68" s="92">
        <f t="shared" si="9"/>
        <v>640429.26</v>
      </c>
      <c r="F68" s="93">
        <f>Plan6!E79</f>
        <v>307801.4884894359</v>
      </c>
      <c r="G68" s="92">
        <f>Plan6!F79</f>
        <v>249705.71204808896</v>
      </c>
      <c r="H68" s="92">
        <f t="shared" si="6"/>
        <v>557507.2005375249</v>
      </c>
      <c r="I68" s="92">
        <f t="shared" si="7"/>
        <v>82922.05946247512</v>
      </c>
    </row>
    <row r="69" spans="1:9" ht="10.5">
      <c r="A69" s="90">
        <f t="shared" si="8"/>
        <v>45</v>
      </c>
      <c r="B69" s="91">
        <f>B68+31</f>
        <v>33905</v>
      </c>
      <c r="C69" s="92">
        <f>Plan3!E80</f>
        <v>853907.1553586791</v>
      </c>
      <c r="D69" s="92">
        <f>Plan3!F80</f>
        <v>-213477.89535867912</v>
      </c>
      <c r="E69" s="92">
        <f t="shared" si="9"/>
        <v>640429.26</v>
      </c>
      <c r="F69" s="93">
        <f>Plan6!E80</f>
        <v>381854.1218672255</v>
      </c>
      <c r="G69" s="92">
        <f>Plan6!F80</f>
        <v>175653.07867029938</v>
      </c>
      <c r="H69" s="92">
        <f t="shared" si="6"/>
        <v>557507.2005375249</v>
      </c>
      <c r="I69" s="92">
        <f t="shared" si="7"/>
        <v>82922.05946247512</v>
      </c>
    </row>
    <row r="70" spans="1:9" ht="10.5">
      <c r="A70" s="90">
        <f t="shared" si="8"/>
        <v>46</v>
      </c>
      <c r="B70" s="91">
        <f>B69+30</f>
        <v>33935</v>
      </c>
      <c r="C70" s="92">
        <f>Plan3!E81</f>
        <v>1047435.7208736701</v>
      </c>
      <c r="D70" s="92">
        <f>Plan3!F81</f>
        <v>-260712.57087367005</v>
      </c>
      <c r="E70" s="92">
        <f t="shared" si="9"/>
        <v>786723.15</v>
      </c>
      <c r="F70" s="93">
        <f>Plan6!E81</f>
        <v>460511.1018675724</v>
      </c>
      <c r="G70" s="92">
        <f>Plan6!F81</f>
        <v>224348.03775491985</v>
      </c>
      <c r="H70" s="92">
        <f t="shared" si="6"/>
        <v>684859.1396224923</v>
      </c>
      <c r="I70" s="92">
        <f t="shared" si="7"/>
        <v>101864.01037750777</v>
      </c>
    </row>
    <row r="71" spans="1:9" ht="10.5">
      <c r="A71" s="90">
        <f t="shared" si="8"/>
        <v>47</v>
      </c>
      <c r="B71" s="91">
        <f>B70+31</f>
        <v>33966</v>
      </c>
      <c r="C71" s="92">
        <f>Plan3!E82</f>
        <v>1218098.997777</v>
      </c>
      <c r="D71" s="92">
        <f>Plan3!F82</f>
        <v>-431375.84777700005</v>
      </c>
      <c r="E71" s="92">
        <f t="shared" si="9"/>
        <v>786723.15</v>
      </c>
      <c r="F71" s="93">
        <f>Plan6!E82</f>
        <v>526358.35355889</v>
      </c>
      <c r="G71" s="92">
        <f>Plan6!F82</f>
        <v>158500.7860636022</v>
      </c>
      <c r="H71" s="92">
        <f t="shared" si="6"/>
        <v>684859.1396224923</v>
      </c>
      <c r="I71" s="92">
        <f t="shared" si="7"/>
        <v>101864.01037750777</v>
      </c>
    </row>
    <row r="72" spans="1:9" ht="10.5">
      <c r="A72" s="90">
        <f t="shared" si="8"/>
        <v>48</v>
      </c>
      <c r="B72" s="91">
        <f>B71+30</f>
        <v>33996</v>
      </c>
      <c r="C72" s="92">
        <f>Plan3!E83</f>
        <v>1538435.217707</v>
      </c>
      <c r="D72" s="92">
        <f>Plan3!F83</f>
        <v>15688.372292999877</v>
      </c>
      <c r="E72" s="92">
        <f t="shared" si="9"/>
        <v>1554123.5899999999</v>
      </c>
      <c r="F72" s="93">
        <f>Plan6!E83</f>
        <v>655128.062372462</v>
      </c>
      <c r="G72" s="92">
        <f>Plan6!F83</f>
        <v>697769.4040592198</v>
      </c>
      <c r="H72" s="92">
        <f t="shared" si="6"/>
        <v>1352897.4664316818</v>
      </c>
      <c r="I72" s="92">
        <f t="shared" si="7"/>
        <v>201226.1235683181</v>
      </c>
    </row>
    <row r="73" spans="1:9" ht="10.5">
      <c r="A73" s="90">
        <f>A72+1</f>
        <v>49</v>
      </c>
      <c r="B73" s="91">
        <f>B72+31</f>
        <v>34027</v>
      </c>
      <c r="C73" s="92">
        <f>Plan3!E84</f>
        <v>1877819.9785870002</v>
      </c>
      <c r="D73" s="92">
        <f>Plan3!F84</f>
        <v>-323696.3885870003</v>
      </c>
      <c r="E73" s="92">
        <f t="shared" si="9"/>
        <v>1554123.5899999999</v>
      </c>
      <c r="F73" s="93">
        <f>Plan6!E85</f>
        <v>807581.6061162734</v>
      </c>
      <c r="G73" s="92">
        <f>Plan6!F85</f>
        <v>545315.8603154083</v>
      </c>
      <c r="H73" s="92">
        <f t="shared" si="6"/>
        <v>1352897.4664316818</v>
      </c>
      <c r="I73" s="92">
        <f t="shared" si="7"/>
        <v>201226.1235683181</v>
      </c>
    </row>
    <row r="74" spans="1:9" ht="10.5">
      <c r="A74" s="90">
        <f aca="true" t="shared" si="10" ref="A74:A84">A73+1</f>
        <v>50</v>
      </c>
      <c r="B74" s="91">
        <f>B73+28</f>
        <v>34055</v>
      </c>
      <c r="C74" s="92">
        <f>Plan3!E85</f>
        <v>2391228.158146</v>
      </c>
      <c r="D74" s="92">
        <f>Plan3!F85</f>
        <v>-332014.408146</v>
      </c>
      <c r="E74" s="92">
        <f t="shared" si="9"/>
        <v>2059213.75</v>
      </c>
      <c r="F74" s="93">
        <f>Plan6!E86</f>
        <v>1010957.0223653126</v>
      </c>
      <c r="G74" s="92">
        <f>Plan6!F86</f>
        <v>781632.1227310793</v>
      </c>
      <c r="H74" s="92">
        <f t="shared" si="6"/>
        <v>1792589.145096392</v>
      </c>
      <c r="I74" s="92">
        <f t="shared" si="7"/>
        <v>266624.6049036081</v>
      </c>
    </row>
    <row r="75" spans="1:9" ht="10.5">
      <c r="A75" s="90">
        <f t="shared" si="10"/>
        <v>51</v>
      </c>
      <c r="B75" s="91">
        <f>B74+31</f>
        <v>34086</v>
      </c>
      <c r="C75" s="92">
        <f>Plan3!E86</f>
        <v>3141624.3535599997</v>
      </c>
      <c r="D75" s="92">
        <f>Plan3!F86</f>
        <v>-1082410.6035599997</v>
      </c>
      <c r="E75" s="92">
        <f t="shared" si="9"/>
        <v>2059213.75</v>
      </c>
      <c r="F75" s="93">
        <f>Plan6!E87</f>
        <v>1305541.0530255039</v>
      </c>
      <c r="G75" s="92">
        <f>Plan6!F87</f>
        <v>487048.09207088803</v>
      </c>
      <c r="H75" s="92">
        <f t="shared" si="6"/>
        <v>1792589.145096392</v>
      </c>
      <c r="I75" s="92">
        <f t="shared" si="7"/>
        <v>266624.6049036081</v>
      </c>
    </row>
    <row r="76" spans="1:9" ht="10.5">
      <c r="A76" s="90">
        <f t="shared" si="10"/>
        <v>52</v>
      </c>
      <c r="B76" s="91">
        <f>B75+30</f>
        <v>34116</v>
      </c>
      <c r="C76" s="92">
        <f>Plan3!E87</f>
        <v>3845219.878593</v>
      </c>
      <c r="D76" s="92">
        <f>Plan3!F87</f>
        <v>21312.531406999566</v>
      </c>
      <c r="E76" s="92">
        <f t="shared" si="9"/>
        <v>3866532.4099999997</v>
      </c>
      <c r="F76" s="93">
        <f>Plan6!E88</f>
        <v>1573175.8457412124</v>
      </c>
      <c r="G76" s="92">
        <f>Plan6!F88</f>
        <v>1792731.1523503088</v>
      </c>
      <c r="H76" s="92">
        <f t="shared" si="6"/>
        <v>3365906.998091521</v>
      </c>
      <c r="I76" s="92">
        <f t="shared" si="7"/>
        <v>500625.4119084785</v>
      </c>
    </row>
    <row r="77" spans="1:9" ht="10.5">
      <c r="A77" s="90">
        <f t="shared" si="10"/>
        <v>53</v>
      </c>
      <c r="B77" s="91">
        <f>B76+31</f>
        <v>34147</v>
      </c>
      <c r="C77" s="92">
        <f>Plan3!E88</f>
        <v>4832204.006471</v>
      </c>
      <c r="D77" s="92">
        <f>Plan3!F88</f>
        <v>-965671.596471</v>
      </c>
      <c r="E77" s="92">
        <f t="shared" si="9"/>
        <v>3866532.4099999997</v>
      </c>
      <c r="F77" s="93">
        <f>Plan6!E89</f>
        <v>1936718.0654811077</v>
      </c>
      <c r="G77" s="92">
        <f>Plan6!F89</f>
        <v>1429188.9326104135</v>
      </c>
      <c r="H77" s="92">
        <f t="shared" si="6"/>
        <v>3365906.998091521</v>
      </c>
      <c r="I77" s="92">
        <f t="shared" si="7"/>
        <v>500625.4119084785</v>
      </c>
    </row>
    <row r="78" spans="1:9" ht="10.5">
      <c r="A78" s="90">
        <f t="shared" si="10"/>
        <v>54</v>
      </c>
      <c r="B78" s="91">
        <f>B77+30</f>
        <v>34177</v>
      </c>
      <c r="C78" s="92">
        <f>Plan3!E89</f>
        <v>6336170.773738</v>
      </c>
      <c r="D78" s="92">
        <f>Plan3!F89</f>
        <v>-1014648.463738</v>
      </c>
      <c r="E78" s="92">
        <f t="shared" si="9"/>
        <v>5321522.31</v>
      </c>
      <c r="F78" s="93">
        <f>Plan6!E90</f>
        <v>2496666.0332981213</v>
      </c>
      <c r="G78" s="92">
        <f>Plan6!F90</f>
        <v>2135831.7723621675</v>
      </c>
      <c r="H78" s="92">
        <f t="shared" si="6"/>
        <v>4632497.805660289</v>
      </c>
      <c r="I78" s="92">
        <f t="shared" si="7"/>
        <v>689024.5043397108</v>
      </c>
    </row>
    <row r="79" spans="1:9" ht="10.5">
      <c r="A79" s="90">
        <f t="shared" si="10"/>
        <v>55</v>
      </c>
      <c r="B79" s="91">
        <f>B78+31</f>
        <v>34208</v>
      </c>
      <c r="C79" s="92">
        <f>Plan3!E90</f>
        <v>8229.05006363</v>
      </c>
      <c r="D79" s="92">
        <f>Plan3!F90</f>
        <v>-2907.53006363</v>
      </c>
      <c r="E79" s="92">
        <f t="shared" si="9"/>
        <v>5321.52</v>
      </c>
      <c r="F79" s="93">
        <f>Plan6!E91</f>
        <v>3184.7697855689557</v>
      </c>
      <c r="G79" s="92">
        <f>Plan6!F91</f>
        <v>-4203.652742393296</v>
      </c>
      <c r="H79" s="92">
        <f t="shared" si="6"/>
        <v>-1018.88295682434</v>
      </c>
      <c r="I79" s="92">
        <f t="shared" si="7"/>
        <v>6340.40295682434</v>
      </c>
    </row>
    <row r="80" spans="1:9" ht="10.5">
      <c r="A80" s="90">
        <f t="shared" si="10"/>
        <v>56</v>
      </c>
      <c r="B80" s="91">
        <f>B79+31</f>
        <v>34239</v>
      </c>
      <c r="C80" s="92">
        <f>Plan3!E91</f>
        <v>10593.581908156</v>
      </c>
      <c r="D80" s="92">
        <f>Plan3!F91</f>
        <v>88.82809184399957</v>
      </c>
      <c r="E80" s="92">
        <f t="shared" si="9"/>
        <v>10682.41</v>
      </c>
      <c r="F80" s="93">
        <f>Plan6!E92</f>
        <v>4037.2513595327973</v>
      </c>
      <c r="G80" s="92">
        <f>Plan6!F92</f>
        <v>5262.037280198939</v>
      </c>
      <c r="H80" s="92">
        <f t="shared" si="6"/>
        <v>9299.288639731736</v>
      </c>
      <c r="I80" s="92">
        <f t="shared" si="7"/>
        <v>1383.1213602682637</v>
      </c>
    </row>
    <row r="81" spans="1:9" ht="10.5">
      <c r="A81" s="90">
        <f t="shared" si="10"/>
        <v>57</v>
      </c>
      <c r="B81" s="91">
        <f>B80+30</f>
        <v>34269</v>
      </c>
      <c r="C81" s="92">
        <f>Plan3!E92</f>
        <v>14267.792297</v>
      </c>
      <c r="D81" s="92">
        <f>Plan3!F92</f>
        <v>-1527.9522969999998</v>
      </c>
      <c r="E81" s="92">
        <f t="shared" si="9"/>
        <v>12739.84</v>
      </c>
      <c r="F81" s="93">
        <f>Plan6!E93</f>
        <v>5328.336164024581</v>
      </c>
      <c r="G81" s="92">
        <f>Plan6!F93</f>
        <v>5762.0039551526415</v>
      </c>
      <c r="H81" s="92">
        <f t="shared" si="6"/>
        <v>11090.340119177223</v>
      </c>
      <c r="I81" s="92">
        <f t="shared" si="7"/>
        <v>1649.4998808227774</v>
      </c>
    </row>
    <row r="82" spans="1:9" ht="10.5">
      <c r="A82" s="90">
        <f>A81+1</f>
        <v>58</v>
      </c>
      <c r="B82" s="91">
        <f>B81+31</f>
        <v>34300</v>
      </c>
      <c r="C82" s="92">
        <f>Plan3!E93</f>
        <v>18893.369361</v>
      </c>
      <c r="D82" s="92">
        <f>Plan3!F93</f>
        <v>-3322.7393610000017</v>
      </c>
      <c r="E82" s="92">
        <f t="shared" si="9"/>
        <v>15570.63</v>
      </c>
      <c r="F82" s="93">
        <f>Plan6!E94</f>
        <v>6922.096143732674</v>
      </c>
      <c r="G82" s="92">
        <f>Plan6!F94</f>
        <v>6632.525997578709</v>
      </c>
      <c r="H82" s="92">
        <f t="shared" si="6"/>
        <v>13554.622141311384</v>
      </c>
      <c r="I82" s="92">
        <f t="shared" si="7"/>
        <v>2016.0078586886157</v>
      </c>
    </row>
    <row r="83" spans="1:9" ht="10.5">
      <c r="A83" s="90">
        <f t="shared" si="10"/>
        <v>59</v>
      </c>
      <c r="B83" s="91">
        <f>B82+30</f>
        <v>34330</v>
      </c>
      <c r="C83" s="92">
        <f>Plan3!E94</f>
        <v>26260.213531</v>
      </c>
      <c r="D83" s="92">
        <f>Plan3!F94</f>
        <v>-10522.723531000001</v>
      </c>
      <c r="E83" s="92">
        <f t="shared" si="9"/>
        <v>15737.49</v>
      </c>
      <c r="F83" s="93">
        <f>Plan6!E95</f>
        <v>9454.86278016902</v>
      </c>
      <c r="G83" s="92">
        <f>Plan6!F95</f>
        <v>9809.604849523708</v>
      </c>
      <c r="H83" s="92">
        <f t="shared" si="6"/>
        <v>19264.46762969273</v>
      </c>
      <c r="I83" s="92">
        <f t="shared" si="7"/>
        <v>-3526.9776296927284</v>
      </c>
    </row>
    <row r="84" spans="1:9" ht="10.5">
      <c r="A84" s="90">
        <f t="shared" si="10"/>
        <v>60</v>
      </c>
      <c r="B84" s="91">
        <f>B83+31</f>
        <v>34361</v>
      </c>
      <c r="C84" s="92">
        <f>Plan3!E95</f>
        <v>36515.886806999995</v>
      </c>
      <c r="D84" s="92">
        <f>Plan3!F95</f>
        <v>-1694.266807</v>
      </c>
      <c r="E84" s="92">
        <f t="shared" si="9"/>
        <v>34821.619999999995</v>
      </c>
      <c r="F84" s="93">
        <f>Plan6!E96</f>
        <v>12917.363587375123</v>
      </c>
      <c r="G84" s="92">
        <f>Plan6!F96</f>
        <v>21503.739644832593</v>
      </c>
      <c r="H84" s="92">
        <f t="shared" si="6"/>
        <v>34421.103232207715</v>
      </c>
      <c r="I84" s="92">
        <f t="shared" si="7"/>
        <v>400.51676779228</v>
      </c>
    </row>
    <row r="85" spans="1:9" ht="10.5">
      <c r="A85" s="90">
        <f>A84+1</f>
        <v>61</v>
      </c>
      <c r="B85" s="91">
        <f>B84+31</f>
        <v>34392</v>
      </c>
      <c r="C85" s="92">
        <f>Plan3!E96</f>
        <v>48122.545729000005</v>
      </c>
      <c r="D85" s="92">
        <f>Plan3!F96</f>
        <v>-4631.335729000006</v>
      </c>
      <c r="E85" s="92">
        <f t="shared" si="9"/>
        <v>43491.21</v>
      </c>
      <c r="F85" s="93">
        <f>Plan6!E98</f>
        <v>17001.449341903382</v>
      </c>
      <c r="G85" s="92">
        <f>Plan6!F98</f>
        <v>25986.96470793215</v>
      </c>
      <c r="H85" s="92">
        <f t="shared" si="6"/>
        <v>42988.414049835534</v>
      </c>
      <c r="I85" s="92">
        <f t="shared" si="7"/>
        <v>502.79595016446547</v>
      </c>
    </row>
    <row r="86" spans="1:9" ht="10.5">
      <c r="A86" s="90">
        <f>A85+1</f>
        <v>62</v>
      </c>
      <c r="B86" s="91">
        <f>B85+28</f>
        <v>34420</v>
      </c>
      <c r="C86" s="92">
        <f>Plan3!E97</f>
        <v>69424.075488</v>
      </c>
      <c r="D86" s="92">
        <f>Plan3!F97</f>
        <v>-14038.025488</v>
      </c>
      <c r="E86" s="92">
        <f t="shared" si="9"/>
        <v>55386.05</v>
      </c>
      <c r="F86" s="93">
        <f>Plan6!E99</f>
        <v>24042.938170120207</v>
      </c>
      <c r="G86" s="92">
        <f>Plan6!F99</f>
        <v>30702.815698328013</v>
      </c>
      <c r="H86" s="92">
        <f t="shared" si="6"/>
        <v>54745.75386844822</v>
      </c>
      <c r="I86" s="92">
        <f t="shared" si="7"/>
        <v>640.2961315517823</v>
      </c>
    </row>
    <row r="87" spans="1:9" ht="10.5">
      <c r="A87" s="90">
        <f>A86+1</f>
        <v>63</v>
      </c>
      <c r="B87" s="91">
        <f>B86+31</f>
        <v>34451</v>
      </c>
      <c r="C87" s="92">
        <f>Plan3!E98</f>
        <v>101053.804623</v>
      </c>
      <c r="D87" s="92">
        <f>Plan3!F98</f>
        <v>-28913.474623000002</v>
      </c>
      <c r="E87" s="92">
        <f t="shared" si="9"/>
        <v>72140.33</v>
      </c>
      <c r="F87" s="93">
        <f>Plan6!E100</f>
        <v>34363.33189368071</v>
      </c>
      <c r="G87" s="92">
        <f>Plan6!F100</f>
        <v>36943.02222235269</v>
      </c>
      <c r="H87" s="92">
        <f t="shared" si="6"/>
        <v>71306.3541160334</v>
      </c>
      <c r="I87" s="92">
        <f t="shared" si="7"/>
        <v>833.9758839666029</v>
      </c>
    </row>
    <row r="88" spans="1:9" ht="10.5">
      <c r="A88" s="90">
        <f>A87+1</f>
        <v>64</v>
      </c>
      <c r="B88" s="91">
        <f>B87+30</f>
        <v>34481</v>
      </c>
      <c r="C88" s="106">
        <f>Plan4!E18</f>
        <v>139623.452226</v>
      </c>
      <c r="D88" s="92">
        <f>Plan4!F18</f>
        <v>30097.327774000005</v>
      </c>
      <c r="E88" s="92">
        <f aca="true" t="shared" si="11" ref="E88:E100">C88+D88</f>
        <v>169720.78</v>
      </c>
      <c r="F88" s="93">
        <f>Plan7!E18</f>
        <v>46632.09148151549</v>
      </c>
      <c r="G88" s="92">
        <f>Plan7!F18</f>
        <v>41836.98110845581</v>
      </c>
      <c r="H88" s="92">
        <f aca="true" t="shared" si="12" ref="H88:H100">F88+G88</f>
        <v>88469.0725899713</v>
      </c>
      <c r="I88" s="92">
        <f aca="true" t="shared" si="13" ref="I88:I100">E88-H88</f>
        <v>81251.7074100287</v>
      </c>
    </row>
    <row r="89" spans="1:9" ht="10.5">
      <c r="A89" s="90">
        <f aca="true" t="shared" si="14" ref="A89:A95">A88+1</f>
        <v>65</v>
      </c>
      <c r="B89" s="91">
        <f>B88+30</f>
        <v>34511</v>
      </c>
      <c r="C89" s="106">
        <f>Plan4!E19</f>
        <v>453.9126078789117</v>
      </c>
      <c r="D89" s="92">
        <f>Plan4!F19</f>
        <v>-366.4626078789117</v>
      </c>
      <c r="E89" s="92">
        <f t="shared" si="11"/>
        <v>87.44999999999999</v>
      </c>
      <c r="F89" s="93">
        <f>Plan7!E19</f>
        <v>151.10002977226267</v>
      </c>
      <c r="G89" s="92">
        <f>Plan7!F19</f>
        <v>-105.50506571823334</v>
      </c>
      <c r="H89" s="92">
        <f t="shared" si="12"/>
        <v>45.59496405402933</v>
      </c>
      <c r="I89" s="92">
        <f t="shared" si="13"/>
        <v>41.855035945970656</v>
      </c>
    </row>
    <row r="90" spans="1:9" ht="10.5">
      <c r="A90" s="90">
        <f t="shared" si="14"/>
        <v>66</v>
      </c>
      <c r="B90" s="91">
        <f>B89+31</f>
        <v>34542</v>
      </c>
      <c r="C90" s="106">
        <f>Plan4!E20</f>
        <v>178.702922</v>
      </c>
      <c r="D90" s="92">
        <f>Plan4!F20</f>
        <v>-50.522921999999994</v>
      </c>
      <c r="E90" s="92">
        <f t="shared" si="11"/>
        <v>128.18</v>
      </c>
      <c r="F90" s="93">
        <f>Plan7!E20</f>
        <v>58.41702267322873</v>
      </c>
      <c r="G90" s="92">
        <f>Plan7!F20</f>
        <v>8.420214754079609</v>
      </c>
      <c r="H90" s="92">
        <f t="shared" si="12"/>
        <v>66.83723742730834</v>
      </c>
      <c r="I90" s="92">
        <f t="shared" si="13"/>
        <v>61.34276257269167</v>
      </c>
    </row>
    <row r="91" spans="1:9" ht="10.5">
      <c r="A91" s="90">
        <f t="shared" si="14"/>
        <v>67</v>
      </c>
      <c r="B91" s="91">
        <f>B90+31</f>
        <v>34573</v>
      </c>
      <c r="C91" s="106">
        <f>Plan4!E21</f>
        <v>177.342735</v>
      </c>
      <c r="D91" s="92">
        <f>Plan4!F21</f>
        <v>-49.162735</v>
      </c>
      <c r="E91" s="92">
        <f t="shared" si="11"/>
        <v>128.18</v>
      </c>
      <c r="F91" s="93">
        <f>Plan7!E21</f>
        <v>57.55860173388809</v>
      </c>
      <c r="G91" s="92">
        <f>Plan7!F21</f>
        <v>9.278635693420249</v>
      </c>
      <c r="H91" s="92">
        <f t="shared" si="12"/>
        <v>66.83723742730834</v>
      </c>
      <c r="I91" s="92">
        <f t="shared" si="13"/>
        <v>61.34276257269167</v>
      </c>
    </row>
    <row r="92" spans="1:9" ht="10.5">
      <c r="A92" s="90">
        <f t="shared" si="14"/>
        <v>68</v>
      </c>
      <c r="B92" s="91">
        <f>B91+30</f>
        <v>34603</v>
      </c>
      <c r="C92" s="106">
        <f>Plan4!E22</f>
        <v>182.19412499999999</v>
      </c>
      <c r="D92" s="92">
        <f>Plan4!F22</f>
        <v>-54.01412499999998</v>
      </c>
      <c r="E92" s="92">
        <f t="shared" si="11"/>
        <v>128.18</v>
      </c>
      <c r="F92" s="93">
        <f>Plan7!E22</f>
        <v>58.72547282392319</v>
      </c>
      <c r="G92" s="92">
        <f>Plan7!F22</f>
        <v>8.111764603385147</v>
      </c>
      <c r="H92" s="92">
        <f t="shared" si="12"/>
        <v>66.83723742730834</v>
      </c>
      <c r="I92" s="92">
        <f t="shared" si="13"/>
        <v>61.34276257269167</v>
      </c>
    </row>
    <row r="93" spans="1:9" ht="10.5">
      <c r="A93" s="90">
        <f t="shared" si="14"/>
        <v>69</v>
      </c>
      <c r="B93" s="91">
        <f>B92+31</f>
        <v>34634</v>
      </c>
      <c r="C93" s="106">
        <f>Plan4!E23</f>
        <v>186.532875</v>
      </c>
      <c r="D93" s="92">
        <f>Plan4!F23</f>
        <v>-58.35287499999998</v>
      </c>
      <c r="E93" s="92">
        <f t="shared" si="11"/>
        <v>128.18</v>
      </c>
      <c r="F93" s="93">
        <f>Plan7!E23</f>
        <v>59.70798653071375</v>
      </c>
      <c r="G93" s="92">
        <f>Plan7!F23</f>
        <v>7.129250896594591</v>
      </c>
      <c r="H93" s="92">
        <f t="shared" si="12"/>
        <v>66.83723742730834</v>
      </c>
      <c r="I93" s="92">
        <f t="shared" si="13"/>
        <v>61.34276257269167</v>
      </c>
    </row>
    <row r="94" spans="1:9" ht="10.5">
      <c r="A94" s="90">
        <f t="shared" si="14"/>
        <v>70</v>
      </c>
      <c r="B94" s="91">
        <f>B93+30</f>
        <v>34664</v>
      </c>
      <c r="C94" s="106">
        <f>Plan4!E24</f>
        <v>191.709382</v>
      </c>
      <c r="D94" s="92">
        <f>Plan4!F24</f>
        <v>-63.529382</v>
      </c>
      <c r="E94" s="92">
        <f t="shared" si="11"/>
        <v>128.18</v>
      </c>
      <c r="F94" s="93">
        <f>Plan7!E24</f>
        <v>60.94202611571753</v>
      </c>
      <c r="G94" s="92">
        <f>Plan7!F24</f>
        <v>5.895211311590806</v>
      </c>
      <c r="H94" s="92">
        <f t="shared" si="12"/>
        <v>66.83723742730834</v>
      </c>
      <c r="I94" s="92">
        <f t="shared" si="13"/>
        <v>61.34276257269167</v>
      </c>
    </row>
    <row r="95" spans="1:9" ht="10.5">
      <c r="A95" s="90">
        <f t="shared" si="14"/>
        <v>71</v>
      </c>
      <c r="B95" s="91">
        <f>B94+31</f>
        <v>34695</v>
      </c>
      <c r="C95" s="106">
        <f>Plan4!E25</f>
        <v>197.147905</v>
      </c>
      <c r="D95" s="92">
        <f>Plan4!F25</f>
        <v>34.55209499999998</v>
      </c>
      <c r="E95" s="92">
        <f t="shared" si="11"/>
        <v>231.7</v>
      </c>
      <c r="F95" s="93">
        <f>Plan7!E25</f>
        <v>62.23919647928053</v>
      </c>
      <c r="G95" s="92">
        <f>Plan7!F25</f>
        <v>58.58487215183316</v>
      </c>
      <c r="H95" s="92">
        <f t="shared" si="12"/>
        <v>120.82406863111369</v>
      </c>
      <c r="I95" s="92">
        <f t="shared" si="13"/>
        <v>110.8759313688863</v>
      </c>
    </row>
    <row r="96" spans="1:9" ht="10.5">
      <c r="A96" s="90">
        <f>A95+1</f>
        <v>72</v>
      </c>
      <c r="B96" s="91">
        <f>B95+31</f>
        <v>34726</v>
      </c>
      <c r="C96" s="106">
        <f>Plan4!E26</f>
        <v>203.11784699999998</v>
      </c>
      <c r="D96" s="92">
        <f>Plan4!F26</f>
        <v>28.582153000000005</v>
      </c>
      <c r="E96" s="92">
        <f t="shared" si="11"/>
        <v>231.7</v>
      </c>
      <c r="F96" s="93">
        <f>Plan7!E26</f>
        <v>63.6830385454251</v>
      </c>
      <c r="G96" s="92">
        <f>Plan7!F26</f>
        <v>57.14103008568859</v>
      </c>
      <c r="H96" s="92">
        <f t="shared" si="12"/>
        <v>120.82406863111369</v>
      </c>
      <c r="I96" s="92">
        <f t="shared" si="13"/>
        <v>110.8759313688863</v>
      </c>
    </row>
    <row r="97" spans="1:9" ht="10.5">
      <c r="A97" s="90">
        <f>A96+1</f>
        <v>73</v>
      </c>
      <c r="B97" s="91">
        <f>B96+28</f>
        <v>34754</v>
      </c>
      <c r="C97" s="106">
        <f>Plan4!E27</f>
        <v>207.253143</v>
      </c>
      <c r="D97" s="92">
        <f>Plan4!F27</f>
        <v>24.446856999999994</v>
      </c>
      <c r="E97" s="92">
        <f t="shared" si="11"/>
        <v>231.7</v>
      </c>
      <c r="F97" s="93">
        <f>Plan7!E28</f>
        <v>69.89052190987834</v>
      </c>
      <c r="G97" s="92">
        <f>Plan7!F28</f>
        <v>50.933546721235345</v>
      </c>
      <c r="H97" s="92">
        <f t="shared" si="12"/>
        <v>120.82406863111369</v>
      </c>
      <c r="I97" s="92">
        <f t="shared" si="13"/>
        <v>110.8759313688863</v>
      </c>
    </row>
    <row r="98" spans="1:9" ht="10.5">
      <c r="A98" s="90">
        <f>A97+1</f>
        <v>74</v>
      </c>
      <c r="B98" s="91">
        <f>B97+31</f>
        <v>34785</v>
      </c>
      <c r="C98" s="106">
        <f>Plan4!E28</f>
        <v>211.73046599999998</v>
      </c>
      <c r="D98" s="92">
        <f>Plan4!F28</f>
        <v>19.96953400000001</v>
      </c>
      <c r="E98" s="92">
        <f t="shared" si="11"/>
        <v>231.7</v>
      </c>
      <c r="F98" s="93">
        <f>Plan7!E29</f>
        <v>70.90532515378602</v>
      </c>
      <c r="G98" s="92">
        <f>Plan7!F29</f>
        <v>49.918743477327666</v>
      </c>
      <c r="H98" s="92">
        <f t="shared" si="12"/>
        <v>120.82406863111369</v>
      </c>
      <c r="I98" s="92">
        <f t="shared" si="13"/>
        <v>110.8759313688863</v>
      </c>
    </row>
    <row r="99" spans="1:9" ht="10.5">
      <c r="A99" s="90">
        <f>A98+1</f>
        <v>75</v>
      </c>
      <c r="B99" s="91">
        <f>B98+30</f>
        <v>34815</v>
      </c>
      <c r="C99" s="106">
        <f>Plan4!E29</f>
        <v>214.37919499999998</v>
      </c>
      <c r="D99" s="92">
        <f>Plan4!F29</f>
        <v>17.320805000000007</v>
      </c>
      <c r="E99" s="92">
        <f t="shared" si="11"/>
        <v>231.7</v>
      </c>
      <c r="F99" s="93">
        <f>Plan7!E30</f>
        <v>71.2901032990618</v>
      </c>
      <c r="G99" s="92">
        <f>Plan7!F30</f>
        <v>49.53396533205189</v>
      </c>
      <c r="H99" s="92">
        <f t="shared" si="12"/>
        <v>120.82406863111369</v>
      </c>
      <c r="I99" s="92">
        <f t="shared" si="13"/>
        <v>110.8759313688863</v>
      </c>
    </row>
    <row r="100" spans="1:9" ht="10.5">
      <c r="A100" s="90">
        <f>A99+1</f>
        <v>76</v>
      </c>
      <c r="B100" s="91">
        <f>B99+31</f>
        <v>34846</v>
      </c>
      <c r="C100" s="106">
        <f>Plan4!E30</f>
        <v>222.933697</v>
      </c>
      <c r="D100" s="92">
        <f>Plan4!F30</f>
        <v>8.766302999999994</v>
      </c>
      <c r="E100" s="92">
        <f t="shared" si="11"/>
        <v>231.7</v>
      </c>
      <c r="F100" s="93">
        <f>Plan7!E31</f>
        <v>73.62986863195407</v>
      </c>
      <c r="G100" s="92">
        <f>Plan7!F31</f>
        <v>47.19419999915962</v>
      </c>
      <c r="H100" s="92">
        <f t="shared" si="12"/>
        <v>120.82406863111369</v>
      </c>
      <c r="I100" s="92">
        <f t="shared" si="13"/>
        <v>110.8759313688863</v>
      </c>
    </row>
    <row r="103" spans="1:9" ht="10.5">
      <c r="A103" s="63" t="s">
        <v>0</v>
      </c>
      <c r="I103" s="65" t="s">
        <v>147</v>
      </c>
    </row>
    <row r="104" spans="1:9" ht="10.5">
      <c r="A104" s="63" t="s">
        <v>40</v>
      </c>
      <c r="I104" s="65" t="s">
        <v>148</v>
      </c>
    </row>
    <row r="105" ht="10.5">
      <c r="A105" s="63"/>
    </row>
    <row r="106" spans="1:7" ht="10.5">
      <c r="A106" s="60" t="s">
        <v>3</v>
      </c>
      <c r="C106" s="60" t="s">
        <v>188</v>
      </c>
      <c r="D106" s="60"/>
      <c r="E106" s="60"/>
      <c r="F106" s="60"/>
      <c r="G106" s="60"/>
    </row>
    <row r="107" spans="1:7" ht="10.5">
      <c r="A107" s="60" t="s">
        <v>4</v>
      </c>
      <c r="C107" s="60" t="s">
        <v>188</v>
      </c>
      <c r="D107" s="60"/>
      <c r="E107" s="60"/>
      <c r="F107" s="60"/>
      <c r="G107" s="60"/>
    </row>
    <row r="108" ht="10.5">
      <c r="A108" s="60"/>
    </row>
    <row r="109" spans="1:7" ht="10.5">
      <c r="A109" s="60"/>
      <c r="B109" s="60"/>
      <c r="C109" s="60" t="s">
        <v>146</v>
      </c>
      <c r="D109" s="60"/>
      <c r="E109" s="60"/>
      <c r="F109" s="60"/>
      <c r="G109" s="60"/>
    </row>
    <row r="111" ht="10.5">
      <c r="E111" s="60" t="s">
        <v>89</v>
      </c>
    </row>
    <row r="112" ht="11.25" thickBot="1">
      <c r="E112" s="60"/>
    </row>
    <row r="113" spans="1:9" s="141" customFormat="1" ht="61.5" customHeight="1" thickBot="1" thickTop="1">
      <c r="A113" s="150" t="s">
        <v>207</v>
      </c>
      <c r="B113" s="150" t="s">
        <v>5</v>
      </c>
      <c r="C113" s="150" t="s">
        <v>200</v>
      </c>
      <c r="D113" s="150" t="s">
        <v>201</v>
      </c>
      <c r="E113" s="150" t="s">
        <v>202</v>
      </c>
      <c r="F113" s="150" t="s">
        <v>203</v>
      </c>
      <c r="G113" s="150" t="s">
        <v>204</v>
      </c>
      <c r="H113" s="150" t="s">
        <v>205</v>
      </c>
      <c r="I113" s="150" t="s">
        <v>206</v>
      </c>
    </row>
    <row r="114" ht="11.25" thickTop="1"/>
    <row r="115" spans="1:9" ht="10.5">
      <c r="A115" s="90">
        <f>A100+1</f>
        <v>77</v>
      </c>
      <c r="B115" s="91">
        <f>B100+30</f>
        <v>34876</v>
      </c>
      <c r="C115" s="106">
        <f>Plan4!E31</f>
        <v>229.445471</v>
      </c>
      <c r="D115" s="92">
        <f>Plan4!F31</f>
        <v>2.254528999999991</v>
      </c>
      <c r="E115" s="92">
        <f aca="true" t="shared" si="15" ref="E115:E140">C115+D115</f>
        <v>231.7</v>
      </c>
      <c r="F115" s="93">
        <f>Plan7!E32</f>
        <v>75.25901797198478</v>
      </c>
      <c r="G115" s="92">
        <f>Plan7!F32</f>
        <v>45.565050659128914</v>
      </c>
      <c r="H115" s="92">
        <f aca="true" t="shared" si="16" ref="H115:H140">F115+G115</f>
        <v>120.82406863111369</v>
      </c>
      <c r="I115" s="92">
        <f aca="true" t="shared" si="17" ref="I115:I140">E115-H115</f>
        <v>110.8759313688863</v>
      </c>
    </row>
    <row r="116" spans="1:9" ht="10.5">
      <c r="A116" s="90">
        <f aca="true" t="shared" si="18" ref="A116:A122">A115+1</f>
        <v>78</v>
      </c>
      <c r="B116" s="91">
        <f>B115+31</f>
        <v>34907</v>
      </c>
      <c r="C116" s="106">
        <f>Plan4!E32</f>
        <v>235.409806</v>
      </c>
      <c r="D116" s="92">
        <f>Plan4!F32</f>
        <v>-3.7098060000000146</v>
      </c>
      <c r="E116" s="92">
        <f t="shared" si="15"/>
        <v>231.7</v>
      </c>
      <c r="F116" s="93">
        <f>Plan7!E33</f>
        <v>76.68226392023983</v>
      </c>
      <c r="G116" s="92">
        <f>Plan7!F33</f>
        <v>44.141804710873856</v>
      </c>
      <c r="H116" s="92">
        <f t="shared" si="16"/>
        <v>120.82406863111369</v>
      </c>
      <c r="I116" s="92">
        <f t="shared" si="17"/>
        <v>110.8759313688863</v>
      </c>
    </row>
    <row r="117" spans="1:9" ht="10.5">
      <c r="A117" s="90">
        <f t="shared" si="18"/>
        <v>79</v>
      </c>
      <c r="B117" s="91">
        <f>B116+31</f>
        <v>34938</v>
      </c>
      <c r="C117" s="106">
        <f>Plan4!E33</f>
        <v>242.41375</v>
      </c>
      <c r="D117" s="92">
        <f>Plan4!F33</f>
        <v>-10.713750000000005</v>
      </c>
      <c r="E117" s="92">
        <f t="shared" si="15"/>
        <v>231.7</v>
      </c>
      <c r="F117" s="93">
        <f>Plan7!E34</f>
        <v>78.42056423873345</v>
      </c>
      <c r="G117" s="92">
        <f>Plan7!F34</f>
        <v>42.40350439238024</v>
      </c>
      <c r="H117" s="92">
        <f t="shared" si="16"/>
        <v>120.82406863111369</v>
      </c>
      <c r="I117" s="92">
        <f t="shared" si="17"/>
        <v>110.8759313688863</v>
      </c>
    </row>
    <row r="118" spans="1:9" ht="10.5">
      <c r="A118" s="90">
        <f t="shared" si="18"/>
        <v>80</v>
      </c>
      <c r="B118" s="91">
        <f>B117+30</f>
        <v>34968</v>
      </c>
      <c r="C118" s="106">
        <f>Plan4!E34</f>
        <v>248.72118</v>
      </c>
      <c r="D118" s="92">
        <f>Plan4!F34</f>
        <v>-17.021180000000015</v>
      </c>
      <c r="E118" s="92">
        <f t="shared" si="15"/>
        <v>231.7</v>
      </c>
      <c r="F118" s="93">
        <f>Plan7!E35</f>
        <v>79.9055369761073</v>
      </c>
      <c r="G118" s="92">
        <f>Plan7!F35</f>
        <v>40.91853165500639</v>
      </c>
      <c r="H118" s="92">
        <f t="shared" si="16"/>
        <v>120.82406863111369</v>
      </c>
      <c r="I118" s="92">
        <f t="shared" si="17"/>
        <v>110.8759313688863</v>
      </c>
    </row>
    <row r="119" spans="1:9" ht="10.5">
      <c r="A119" s="90">
        <f t="shared" si="18"/>
        <v>81</v>
      </c>
      <c r="B119" s="91">
        <f>B118+31</f>
        <v>34999</v>
      </c>
      <c r="C119" s="106">
        <f>Plan4!E35</f>
        <v>253.923408</v>
      </c>
      <c r="D119" s="92">
        <f>Plan4!F35</f>
        <v>-22.223408000000006</v>
      </c>
      <c r="E119" s="92">
        <f t="shared" si="15"/>
        <v>231.7</v>
      </c>
      <c r="F119" s="93">
        <f>Plan7!E36</f>
        <v>81.01084147903349</v>
      </c>
      <c r="G119" s="92">
        <f>Plan7!F36</f>
        <v>39.8132271520802</v>
      </c>
      <c r="H119" s="92">
        <f t="shared" si="16"/>
        <v>120.82406863111369</v>
      </c>
      <c r="I119" s="92">
        <f t="shared" si="17"/>
        <v>110.8759313688863</v>
      </c>
    </row>
    <row r="120" spans="1:9" ht="10.5">
      <c r="A120" s="90">
        <f t="shared" si="18"/>
        <v>82</v>
      </c>
      <c r="B120" s="91">
        <f>B119+30</f>
        <v>35029</v>
      </c>
      <c r="C120" s="106">
        <f>Plan4!E36</f>
        <v>258.144144</v>
      </c>
      <c r="D120" s="92">
        <f>Plan4!F36</f>
        <v>-26.444143999999994</v>
      </c>
      <c r="E120" s="92">
        <f t="shared" si="15"/>
        <v>231.7</v>
      </c>
      <c r="F120" s="93">
        <f>Plan7!E37</f>
        <v>81.78358932562122</v>
      </c>
      <c r="G120" s="92">
        <f>Plan7!F37</f>
        <v>39.04047930549247</v>
      </c>
      <c r="H120" s="92">
        <f t="shared" si="16"/>
        <v>120.82406863111369</v>
      </c>
      <c r="I120" s="92">
        <f t="shared" si="17"/>
        <v>110.8759313688863</v>
      </c>
    </row>
    <row r="121" spans="1:9" ht="10.5">
      <c r="A121" s="90">
        <f t="shared" si="18"/>
        <v>83</v>
      </c>
      <c r="B121" s="91">
        <f>B120+31</f>
        <v>35060</v>
      </c>
      <c r="C121" s="106">
        <f>Plan4!E37</f>
        <v>261.439725</v>
      </c>
      <c r="D121" s="92">
        <f>Plan4!F37</f>
        <v>41.25027499999999</v>
      </c>
      <c r="E121" s="92">
        <f t="shared" si="15"/>
        <v>302.69</v>
      </c>
      <c r="F121" s="93">
        <f>Plan7!E38</f>
        <v>82.24837970953371</v>
      </c>
      <c r="G121" s="92">
        <f>Plan7!F38</f>
        <v>75.6067996723591</v>
      </c>
      <c r="H121" s="92">
        <f t="shared" si="16"/>
        <v>157.8551793818928</v>
      </c>
      <c r="I121" s="92">
        <f t="shared" si="17"/>
        <v>144.8348206181072</v>
      </c>
    </row>
    <row r="122" spans="1:9" ht="10.5">
      <c r="A122" s="90">
        <f t="shared" si="18"/>
        <v>84</v>
      </c>
      <c r="B122" s="91">
        <f>B121+31</f>
        <v>35091</v>
      </c>
      <c r="C122" s="106">
        <f>Plan4!E38</f>
        <v>264.830625</v>
      </c>
      <c r="D122" s="92">
        <f>Plan4!F38</f>
        <v>37.859375</v>
      </c>
      <c r="E122" s="92">
        <f t="shared" si="15"/>
        <v>302.69</v>
      </c>
      <c r="F122" s="93">
        <f>Plan7!E39</f>
        <v>82.7325627103223</v>
      </c>
      <c r="G122" s="92">
        <f>Plan7!F39</f>
        <v>75.12261667157051</v>
      </c>
      <c r="H122" s="92">
        <f t="shared" si="16"/>
        <v>157.8551793818928</v>
      </c>
      <c r="I122" s="92">
        <f t="shared" si="17"/>
        <v>144.8348206181072</v>
      </c>
    </row>
    <row r="123" spans="1:9" ht="10.5">
      <c r="A123" s="90">
        <f aca="true" t="shared" si="19" ref="A123:A140">A122+1</f>
        <v>85</v>
      </c>
      <c r="B123" s="91">
        <f>B122+29</f>
        <v>35120</v>
      </c>
      <c r="C123" s="106">
        <f>Plan4!E39</f>
        <v>267.443665</v>
      </c>
      <c r="D123" s="92">
        <f>Plan4!F39</f>
        <v>35.24633499999999</v>
      </c>
      <c r="E123" s="92">
        <f t="shared" si="15"/>
        <v>302.69</v>
      </c>
      <c r="F123" s="93">
        <f>Plan7!E41</f>
        <v>89.50607966797598</v>
      </c>
      <c r="G123" s="92">
        <f>Plan7!F41</f>
        <v>68.34909971391683</v>
      </c>
      <c r="H123" s="92">
        <f t="shared" si="16"/>
        <v>157.8551793818928</v>
      </c>
      <c r="I123" s="92">
        <f t="shared" si="17"/>
        <v>144.8348206181072</v>
      </c>
    </row>
    <row r="124" spans="1:9" ht="10.5">
      <c r="A124" s="90">
        <f t="shared" si="19"/>
        <v>86</v>
      </c>
      <c r="B124" s="91">
        <f>B123+31</f>
        <v>35151</v>
      </c>
      <c r="C124" s="106">
        <f>Plan4!E40</f>
        <v>266.54334859659497</v>
      </c>
      <c r="D124" s="92">
        <f>Plan4!F40</f>
        <v>36.14665140340503</v>
      </c>
      <c r="E124" s="92">
        <f t="shared" si="15"/>
        <v>302.69</v>
      </c>
      <c r="F124" s="93">
        <f>Plan7!E42</f>
        <v>89.64568561215907</v>
      </c>
      <c r="G124" s="92">
        <f>Plan7!F42</f>
        <v>68.20949376973374</v>
      </c>
      <c r="H124" s="92">
        <f t="shared" si="16"/>
        <v>157.8551793818928</v>
      </c>
      <c r="I124" s="92">
        <f t="shared" si="17"/>
        <v>144.8348206181072</v>
      </c>
    </row>
    <row r="125" spans="1:9" ht="10.5">
      <c r="A125" s="90">
        <f>A124+1</f>
        <v>87</v>
      </c>
      <c r="B125" s="91">
        <f>B124+30</f>
        <v>35181</v>
      </c>
      <c r="C125" s="106">
        <f>Plan4!E41</f>
        <v>263.33151659659495</v>
      </c>
      <c r="D125" s="92">
        <f>Plan4!F41</f>
        <v>39.358483403405046</v>
      </c>
      <c r="E125" s="92">
        <f t="shared" si="15"/>
        <v>302.69</v>
      </c>
      <c r="F125" s="93">
        <f>Plan7!E43</f>
        <v>89.7498303220251</v>
      </c>
      <c r="G125" s="92">
        <f>Plan7!F43</f>
        <v>68.1053490598677</v>
      </c>
      <c r="H125" s="92">
        <f t="shared" si="16"/>
        <v>157.8551793818928</v>
      </c>
      <c r="I125" s="92">
        <f t="shared" si="17"/>
        <v>144.8348206181072</v>
      </c>
    </row>
    <row r="126" spans="1:9" ht="10.5">
      <c r="A126" s="90">
        <f t="shared" si="19"/>
        <v>88</v>
      </c>
      <c r="B126" s="91">
        <f>B125+31</f>
        <v>35212</v>
      </c>
      <c r="C126" s="106">
        <f>Plan4!E42</f>
        <v>260.11968459659494</v>
      </c>
      <c r="D126" s="92">
        <f>Plan4!F42</f>
        <v>42.57031540340506</v>
      </c>
      <c r="E126" s="92">
        <f t="shared" si="15"/>
        <v>302.69</v>
      </c>
      <c r="F126" s="93">
        <f>Plan7!E44</f>
        <v>89.48980145937682</v>
      </c>
      <c r="G126" s="92">
        <f>Plan7!F44</f>
        <v>68.36537792251599</v>
      </c>
      <c r="H126" s="92">
        <f t="shared" si="16"/>
        <v>157.8551793818928</v>
      </c>
      <c r="I126" s="92">
        <f t="shared" si="17"/>
        <v>144.8348206181072</v>
      </c>
    </row>
    <row r="127" spans="1:9" ht="10.5">
      <c r="A127" s="90">
        <f t="shared" si="19"/>
        <v>89</v>
      </c>
      <c r="B127" s="91">
        <f>B126+30</f>
        <v>35242</v>
      </c>
      <c r="C127" s="106">
        <f>Plan4!E43</f>
        <v>256.9078525965949</v>
      </c>
      <c r="D127" s="92">
        <f>Plan4!F43</f>
        <v>45.78214740340508</v>
      </c>
      <c r="E127" s="92">
        <f t="shared" si="15"/>
        <v>302.69</v>
      </c>
      <c r="F127" s="93">
        <f>Plan7!E45</f>
        <v>89.50409629179256</v>
      </c>
      <c r="G127" s="92">
        <f>Plan7!F45</f>
        <v>68.35108309010025</v>
      </c>
      <c r="H127" s="92">
        <f t="shared" si="16"/>
        <v>157.8551793818928</v>
      </c>
      <c r="I127" s="92">
        <f t="shared" si="17"/>
        <v>144.8348206181072</v>
      </c>
    </row>
    <row r="128" spans="1:9" ht="10.5">
      <c r="A128" s="90">
        <f t="shared" si="19"/>
        <v>90</v>
      </c>
      <c r="B128" s="91">
        <f>B127+31</f>
        <v>35273</v>
      </c>
      <c r="C128" s="106">
        <f>Plan4!E44</f>
        <v>253.69602059659493</v>
      </c>
      <c r="D128" s="92">
        <f>Plan4!F44</f>
        <v>48.99397940340506</v>
      </c>
      <c r="E128" s="92">
        <f t="shared" si="15"/>
        <v>302.69</v>
      </c>
      <c r="F128" s="93">
        <f>Plan7!E46</f>
        <v>89.30429960929195</v>
      </c>
      <c r="G128" s="92">
        <f>Plan7!F46</f>
        <v>68.55087977260087</v>
      </c>
      <c r="H128" s="92">
        <f t="shared" si="16"/>
        <v>157.8551793818928</v>
      </c>
      <c r="I128" s="92">
        <f t="shared" si="17"/>
        <v>144.8348206181072</v>
      </c>
    </row>
    <row r="129" spans="1:9" ht="10.5">
      <c r="A129" s="90">
        <f t="shared" si="19"/>
        <v>91</v>
      </c>
      <c r="B129" s="91">
        <f>B128+31</f>
        <v>35304</v>
      </c>
      <c r="C129" s="106">
        <f>Plan4!E45</f>
        <v>250.48418859659492</v>
      </c>
      <c r="D129" s="92">
        <f>Plan4!F45</f>
        <v>52.20581140340508</v>
      </c>
      <c r="E129" s="92">
        <f t="shared" si="15"/>
        <v>302.69</v>
      </c>
      <c r="F129" s="93">
        <f>Plan7!E47</f>
        <v>89.06065399292702</v>
      </c>
      <c r="G129" s="92">
        <f>Plan7!F47</f>
        <v>68.7945253889658</v>
      </c>
      <c r="H129" s="92">
        <f t="shared" si="16"/>
        <v>157.8551793818928</v>
      </c>
      <c r="I129" s="92">
        <f t="shared" si="17"/>
        <v>144.8348206181072</v>
      </c>
    </row>
    <row r="130" spans="1:9" ht="10.5">
      <c r="A130" s="90">
        <f t="shared" si="19"/>
        <v>92</v>
      </c>
      <c r="B130" s="91">
        <f>B129+30</f>
        <v>35334</v>
      </c>
      <c r="C130" s="106">
        <f>Plan4!E46</f>
        <v>247.2723565965949</v>
      </c>
      <c r="D130" s="92">
        <f>Plan4!F46</f>
        <v>55.417643403405094</v>
      </c>
      <c r="E130" s="92">
        <f t="shared" si="15"/>
        <v>302.69</v>
      </c>
      <c r="F130" s="93">
        <f>Plan7!E48</f>
        <v>89.11406696237077</v>
      </c>
      <c r="G130" s="92">
        <f>Plan7!F48</f>
        <v>68.74111241952204</v>
      </c>
      <c r="H130" s="92">
        <f t="shared" si="16"/>
        <v>157.8551793818928</v>
      </c>
      <c r="I130" s="92">
        <f t="shared" si="17"/>
        <v>144.8348206181072</v>
      </c>
    </row>
    <row r="131" spans="1:9" ht="10.5">
      <c r="A131" s="90">
        <f t="shared" si="19"/>
        <v>93</v>
      </c>
      <c r="B131" s="91">
        <f>B130+31</f>
        <v>35365</v>
      </c>
      <c r="C131" s="106">
        <f>Plan4!E47</f>
        <v>244.06052459659492</v>
      </c>
      <c r="D131" s="92">
        <f>Plan4!F47</f>
        <v>58.62947540340508</v>
      </c>
      <c r="E131" s="92">
        <f t="shared" si="15"/>
        <v>302.69</v>
      </c>
      <c r="F131" s="93">
        <f>Plan7!E49</f>
        <v>88.96789645555289</v>
      </c>
      <c r="G131" s="92">
        <f>Plan7!F49</f>
        <v>68.88728292633992</v>
      </c>
      <c r="H131" s="92">
        <f t="shared" si="16"/>
        <v>157.8551793818928</v>
      </c>
      <c r="I131" s="92">
        <f t="shared" si="17"/>
        <v>144.8348206181072</v>
      </c>
    </row>
    <row r="132" spans="1:9" ht="10.5">
      <c r="A132" s="90">
        <f t="shared" si="19"/>
        <v>94</v>
      </c>
      <c r="B132" s="91">
        <f>B131+30</f>
        <v>35395</v>
      </c>
      <c r="C132" s="106">
        <f>Plan4!E48</f>
        <v>240.8486925965949</v>
      </c>
      <c r="D132" s="92">
        <f>Plan4!F48</f>
        <v>61.8413074034051</v>
      </c>
      <c r="E132" s="92">
        <f t="shared" si="15"/>
        <v>302.69</v>
      </c>
      <c r="F132" s="93">
        <f>Plan7!E50</f>
        <v>88.98255275991129</v>
      </c>
      <c r="G132" s="92">
        <f>Plan7!F50</f>
        <v>68.87262662198152</v>
      </c>
      <c r="H132" s="92">
        <f t="shared" si="16"/>
        <v>157.8551793818928</v>
      </c>
      <c r="I132" s="92">
        <f t="shared" si="17"/>
        <v>144.8348206181072</v>
      </c>
    </row>
    <row r="133" spans="1:9" ht="10.5">
      <c r="A133" s="90">
        <f t="shared" si="19"/>
        <v>95</v>
      </c>
      <c r="B133" s="91">
        <f>B132+31</f>
        <v>35426</v>
      </c>
      <c r="C133" s="106">
        <f>Plan4!E49</f>
        <v>237.6368605965949</v>
      </c>
      <c r="D133" s="92">
        <f>Plan4!F49</f>
        <v>172.2031394034051</v>
      </c>
      <c r="E133" s="92">
        <f t="shared" si="15"/>
        <v>409.84</v>
      </c>
      <c r="F133" s="93">
        <f>Plan7!E51</f>
        <v>89.05718571926546</v>
      </c>
      <c r="G133" s="92">
        <f>Plan7!F51</f>
        <v>126.1995127803075</v>
      </c>
      <c r="H133" s="92">
        <f t="shared" si="16"/>
        <v>215.25669849957296</v>
      </c>
      <c r="I133" s="92">
        <f t="shared" si="17"/>
        <v>194.583301500427</v>
      </c>
    </row>
    <row r="134" spans="1:9" ht="10.5">
      <c r="A134" s="90">
        <f t="shared" si="19"/>
        <v>96</v>
      </c>
      <c r="B134" s="91">
        <f>B133+31</f>
        <v>35457</v>
      </c>
      <c r="C134" s="106">
        <f>Plan4!E50</f>
        <v>314.94854484807433</v>
      </c>
      <c r="D134" s="92">
        <f>Plan4!F50</f>
        <v>94.89145515192564</v>
      </c>
      <c r="E134" s="92">
        <f t="shared" si="15"/>
        <v>409.84</v>
      </c>
      <c r="F134" s="93">
        <f>Plan7!E52</f>
        <v>89.13072353262973</v>
      </c>
      <c r="G134" s="92">
        <f>Plan7!F52</f>
        <v>126.12597496694323</v>
      </c>
      <c r="H134" s="92">
        <f t="shared" si="16"/>
        <v>215.25669849957296</v>
      </c>
      <c r="I134" s="92">
        <f t="shared" si="17"/>
        <v>194.583301500427</v>
      </c>
    </row>
    <row r="135" spans="1:9" ht="10.5">
      <c r="A135" s="90">
        <f t="shared" si="19"/>
        <v>97</v>
      </c>
      <c r="B135" s="91">
        <f>B134+28</f>
        <v>35485</v>
      </c>
      <c r="C135" s="106">
        <f>Plan4!E51</f>
        <v>310.63346884807436</v>
      </c>
      <c r="D135" s="92">
        <f>Plan4!F51</f>
        <v>99.20653115192562</v>
      </c>
      <c r="E135" s="92">
        <f t="shared" si="15"/>
        <v>409.84</v>
      </c>
      <c r="F135" s="93">
        <f>Plan7!E54</f>
        <v>96.80001217963091</v>
      </c>
      <c r="G135" s="92">
        <f>Plan7!F54</f>
        <v>118.45668631994205</v>
      </c>
      <c r="H135" s="92">
        <f t="shared" si="16"/>
        <v>215.25669849957296</v>
      </c>
      <c r="I135" s="92">
        <f t="shared" si="17"/>
        <v>194.583301500427</v>
      </c>
    </row>
    <row r="136" spans="1:9" ht="10.5">
      <c r="A136" s="90">
        <f t="shared" si="19"/>
        <v>98</v>
      </c>
      <c r="B136" s="91">
        <f>B135+31</f>
        <v>35516</v>
      </c>
      <c r="C136" s="106">
        <f>Plan4!E52</f>
        <v>306.3183928480744</v>
      </c>
      <c r="D136" s="92">
        <f>Plan4!F52</f>
        <v>103.5216071519256</v>
      </c>
      <c r="E136" s="92">
        <f t="shared" si="15"/>
        <v>409.84</v>
      </c>
      <c r="F136" s="93">
        <f>Plan7!E55</f>
        <v>96.8209923238707</v>
      </c>
      <c r="G136" s="92">
        <f>Plan7!F55</f>
        <v>118.43570617570226</v>
      </c>
      <c r="H136" s="92">
        <f t="shared" si="16"/>
        <v>215.25669849957296</v>
      </c>
      <c r="I136" s="92">
        <f t="shared" si="17"/>
        <v>194.583301500427</v>
      </c>
    </row>
    <row r="137" spans="1:9" ht="10.5">
      <c r="A137" s="90">
        <f t="shared" si="19"/>
        <v>99</v>
      </c>
      <c r="B137" s="91">
        <f>B136+30</f>
        <v>35546</v>
      </c>
      <c r="C137" s="106">
        <f>Plan4!E53</f>
        <v>302.0033168480744</v>
      </c>
      <c r="D137" s="92">
        <f>Plan4!F53</f>
        <v>107.83668315192557</v>
      </c>
      <c r="E137" s="92">
        <f t="shared" si="15"/>
        <v>409.84</v>
      </c>
      <c r="F137" s="93">
        <f>Plan7!E56</f>
        <v>96.63884657338852</v>
      </c>
      <c r="G137" s="92">
        <f>Plan7!F56</f>
        <v>118.61785192618444</v>
      </c>
      <c r="H137" s="92">
        <f t="shared" si="16"/>
        <v>215.25669849957296</v>
      </c>
      <c r="I137" s="92">
        <f t="shared" si="17"/>
        <v>194.583301500427</v>
      </c>
    </row>
    <row r="138" spans="1:9" ht="10.5">
      <c r="A138" s="90">
        <f t="shared" si="19"/>
        <v>100</v>
      </c>
      <c r="B138" s="91">
        <f>B137+31</f>
        <v>35577</v>
      </c>
      <c r="C138" s="106">
        <f>Plan4!E54</f>
        <v>297.68824084807443</v>
      </c>
      <c r="D138" s="92">
        <f>Plan4!F54</f>
        <v>112.15175915192555</v>
      </c>
      <c r="E138" s="92">
        <f t="shared" si="15"/>
        <v>409.84</v>
      </c>
      <c r="F138" s="93">
        <f>Plan7!E57</f>
        <v>96.5420856719519</v>
      </c>
      <c r="G138" s="92">
        <f>Plan7!F57</f>
        <v>118.71461282762107</v>
      </c>
      <c r="H138" s="92">
        <f t="shared" si="16"/>
        <v>215.25669849957296</v>
      </c>
      <c r="I138" s="92">
        <f t="shared" si="17"/>
        <v>194.583301500427</v>
      </c>
    </row>
    <row r="139" spans="1:9" ht="10.5">
      <c r="A139" s="90">
        <f t="shared" si="19"/>
        <v>101</v>
      </c>
      <c r="B139" s="91">
        <f>B138+30</f>
        <v>35607</v>
      </c>
      <c r="C139" s="106">
        <f>Plan4!E55</f>
        <v>293.37316484807445</v>
      </c>
      <c r="D139" s="92">
        <f>Plan4!F55</f>
        <v>116.46683515192552</v>
      </c>
      <c r="E139" s="92">
        <f t="shared" si="15"/>
        <v>409.84</v>
      </c>
      <c r="F139" s="93">
        <f>Plan7!E58</f>
        <v>96.54128794469797</v>
      </c>
      <c r="G139" s="92">
        <f>Plan7!F58</f>
        <v>118.71541055487499</v>
      </c>
      <c r="H139" s="92">
        <f t="shared" si="16"/>
        <v>215.25669849957296</v>
      </c>
      <c r="I139" s="92">
        <f t="shared" si="17"/>
        <v>194.583301500427</v>
      </c>
    </row>
    <row r="140" spans="1:9" ht="10.5">
      <c r="A140" s="90">
        <f t="shared" si="19"/>
        <v>102</v>
      </c>
      <c r="B140" s="91">
        <f>B139+30</f>
        <v>35637</v>
      </c>
      <c r="C140" s="106">
        <f>Plan4!E56</f>
        <v>286.800898</v>
      </c>
      <c r="D140" s="92">
        <f>Plan4!F56</f>
        <v>123.03910199999996</v>
      </c>
      <c r="E140" s="92">
        <f t="shared" si="15"/>
        <v>409.84</v>
      </c>
      <c r="F140" s="93">
        <f>Plan7!E59</f>
        <v>93.69470279259039</v>
      </c>
      <c r="G140" s="92">
        <f>Plan7!F59</f>
        <v>121.56199570698257</v>
      </c>
      <c r="H140" s="92">
        <f t="shared" si="16"/>
        <v>215.25669849957296</v>
      </c>
      <c r="I140" s="92">
        <f t="shared" si="17"/>
        <v>194.583301500427</v>
      </c>
    </row>
    <row r="141" spans="1:9" ht="10.5">
      <c r="A141" s="90">
        <f>A140+1</f>
        <v>103</v>
      </c>
      <c r="B141" s="91">
        <f>B140+32</f>
        <v>35669</v>
      </c>
      <c r="C141" s="92">
        <f>Plan4!E74</f>
        <v>351.19355499999995</v>
      </c>
      <c r="D141" s="92">
        <f>Plan4!F74</f>
        <v>58.64644500000003</v>
      </c>
      <c r="E141" s="92">
        <f aca="true" t="shared" si="20" ref="E141:E150">C141+D141</f>
        <v>409.84</v>
      </c>
      <c r="F141" s="93">
        <f>Plan7!E76</f>
        <v>114.06741224247035</v>
      </c>
      <c r="G141" s="92">
        <f>Plan7!F76</f>
        <v>101.18928625710261</v>
      </c>
      <c r="H141" s="92">
        <f aca="true" t="shared" si="21" ref="H141:H150">F141+G141</f>
        <v>215.25669849957296</v>
      </c>
      <c r="I141" s="92">
        <f aca="true" t="shared" si="22" ref="I141:I150">E141-H141</f>
        <v>194.583301500427</v>
      </c>
    </row>
    <row r="142" spans="1:9" ht="10.5">
      <c r="A142" s="90">
        <f aca="true" t="shared" si="23" ref="A142:A150">A141+1</f>
        <v>104</v>
      </c>
      <c r="B142" s="91">
        <f>B141+31</f>
        <v>35700</v>
      </c>
      <c r="C142" s="92">
        <f>Plan4!E75</f>
        <v>352.432524</v>
      </c>
      <c r="D142" s="92">
        <f>Plan4!F75</f>
        <v>57.407475999999974</v>
      </c>
      <c r="E142" s="92">
        <f t="shared" si="20"/>
        <v>409.84</v>
      </c>
      <c r="F142" s="93">
        <f>Plan7!E77</f>
        <v>113.6618589954587</v>
      </c>
      <c r="G142" s="92">
        <f>Plan7!F77</f>
        <v>101.59483950411426</v>
      </c>
      <c r="H142" s="92">
        <f t="shared" si="21"/>
        <v>215.25669849957296</v>
      </c>
      <c r="I142" s="92">
        <f t="shared" si="22"/>
        <v>194.583301500427</v>
      </c>
    </row>
    <row r="143" spans="1:9" ht="10.5">
      <c r="A143" s="90">
        <f t="shared" si="23"/>
        <v>105</v>
      </c>
      <c r="B143" s="91">
        <f>B142+30</f>
        <v>35730</v>
      </c>
      <c r="C143" s="92">
        <f>Plan4!E76</f>
        <v>353.76467599999995</v>
      </c>
      <c r="D143" s="92">
        <f>Plan4!F76</f>
        <v>56.07532400000002</v>
      </c>
      <c r="E143" s="92">
        <f t="shared" si="20"/>
        <v>409.84</v>
      </c>
      <c r="F143" s="93">
        <f>Plan7!E78</f>
        <v>113.2863901334568</v>
      </c>
      <c r="G143" s="92">
        <f>Plan7!F78</f>
        <v>101.97030836611616</v>
      </c>
      <c r="H143" s="92">
        <f t="shared" si="21"/>
        <v>215.25669849957296</v>
      </c>
      <c r="I143" s="92">
        <f t="shared" si="22"/>
        <v>194.583301500427</v>
      </c>
    </row>
    <row r="144" spans="1:9" ht="10.5">
      <c r="A144" s="90">
        <f t="shared" si="23"/>
        <v>106</v>
      </c>
      <c r="B144" s="91">
        <f>B143+31</f>
        <v>35761</v>
      </c>
      <c r="C144" s="92">
        <f>Plan4!E77</f>
        <v>354.372457</v>
      </c>
      <c r="D144" s="92">
        <f>Plan4!F77</f>
        <v>55.46754299999998</v>
      </c>
      <c r="E144" s="92">
        <f t="shared" si="20"/>
        <v>409.84</v>
      </c>
      <c r="F144" s="93">
        <f>Plan7!E79</f>
        <v>112.6785831108607</v>
      </c>
      <c r="G144" s="92">
        <f>Plan7!F79</f>
        <v>102.57811538871226</v>
      </c>
      <c r="H144" s="92">
        <f t="shared" si="21"/>
        <v>215.25669849957296</v>
      </c>
      <c r="I144" s="92">
        <f t="shared" si="22"/>
        <v>194.583301500427</v>
      </c>
    </row>
    <row r="145" spans="1:9" ht="10.5">
      <c r="A145" s="90">
        <f t="shared" si="23"/>
        <v>107</v>
      </c>
      <c r="B145" s="91">
        <f>B144+30</f>
        <v>35791</v>
      </c>
      <c r="C145" s="92">
        <f>Plan4!E78</f>
        <v>352.64890677804095</v>
      </c>
      <c r="D145" s="92">
        <f>Plan4!F78</f>
        <v>92.18109322195909</v>
      </c>
      <c r="E145" s="92">
        <f t="shared" si="20"/>
        <v>444.83000000000004</v>
      </c>
      <c r="F145" s="93">
        <f>Plan7!E80</f>
        <v>112.70446955050882</v>
      </c>
      <c r="G145" s="92">
        <f>Plan7!F80</f>
        <v>120.94347509686223</v>
      </c>
      <c r="H145" s="92">
        <f t="shared" si="21"/>
        <v>233.64794464737105</v>
      </c>
      <c r="I145" s="92">
        <f t="shared" si="22"/>
        <v>211.182055352629</v>
      </c>
    </row>
    <row r="146" spans="1:9" ht="10.5">
      <c r="A146" s="90">
        <f t="shared" si="23"/>
        <v>108</v>
      </c>
      <c r="B146" s="91">
        <f>B145+31</f>
        <v>35822</v>
      </c>
      <c r="C146" s="92">
        <f>Plan4!E79</f>
        <v>360.331096</v>
      </c>
      <c r="D146" s="92">
        <f>Plan4!F79</f>
        <v>84.49890400000004</v>
      </c>
      <c r="E146" s="92">
        <f t="shared" si="20"/>
        <v>444.83000000000004</v>
      </c>
      <c r="F146" s="93">
        <f>Plan7!E81</f>
        <v>114.36133562115279</v>
      </c>
      <c r="G146" s="92">
        <f>Plan7!F81</f>
        <v>119.28660902621826</v>
      </c>
      <c r="H146" s="92">
        <f t="shared" si="21"/>
        <v>233.64794464737105</v>
      </c>
      <c r="I146" s="92">
        <f t="shared" si="22"/>
        <v>211.182055352629</v>
      </c>
    </row>
    <row r="147" spans="1:9" ht="10.5">
      <c r="A147" s="90">
        <f t="shared" si="23"/>
        <v>109</v>
      </c>
      <c r="B147" s="91">
        <f>B146+31</f>
        <v>35853</v>
      </c>
      <c r="C147" s="92">
        <f>Plan4!E80</f>
        <v>360.331096</v>
      </c>
      <c r="D147" s="92">
        <f>Plan4!F80</f>
        <v>84.49890400000004</v>
      </c>
      <c r="E147" s="92">
        <f t="shared" si="20"/>
        <v>444.83000000000004</v>
      </c>
      <c r="F147" s="93">
        <f>Plan7!E83</f>
        <v>123.15557950818013</v>
      </c>
      <c r="G147" s="92">
        <f>Plan7!F83</f>
        <v>110.49236513919092</v>
      </c>
      <c r="H147" s="92">
        <f t="shared" si="21"/>
        <v>233.64794464737105</v>
      </c>
      <c r="I147" s="92">
        <f t="shared" si="22"/>
        <v>211.182055352629</v>
      </c>
    </row>
    <row r="148" spans="1:9" ht="10.5">
      <c r="A148" s="90">
        <f t="shared" si="23"/>
        <v>110</v>
      </c>
      <c r="B148" s="91">
        <f>B147+28</f>
        <v>35881</v>
      </c>
      <c r="C148" s="92">
        <f>Plan4!E81</f>
        <v>364.974048</v>
      </c>
      <c r="D148" s="92">
        <f>Plan4!F81</f>
        <v>79.85595200000006</v>
      </c>
      <c r="E148" s="92">
        <f t="shared" si="20"/>
        <v>444.83000000000004</v>
      </c>
      <c r="F148" s="93">
        <f>Plan7!E84</f>
        <v>123.1166358644029</v>
      </c>
      <c r="G148" s="92">
        <f>Plan7!F84</f>
        <v>110.53130878296815</v>
      </c>
      <c r="H148" s="92">
        <f t="shared" si="21"/>
        <v>233.64794464737105</v>
      </c>
      <c r="I148" s="92">
        <f t="shared" si="22"/>
        <v>211.182055352629</v>
      </c>
    </row>
    <row r="149" spans="1:9" ht="10.5">
      <c r="A149" s="90">
        <f t="shared" si="23"/>
        <v>111</v>
      </c>
      <c r="B149" s="91">
        <f>B148+31</f>
        <v>35912</v>
      </c>
      <c r="C149" s="92">
        <f>Plan4!E82</f>
        <v>365.138876</v>
      </c>
      <c r="D149" s="92">
        <f>Plan4!F82</f>
        <v>79.69112400000006</v>
      </c>
      <c r="E149" s="92">
        <f t="shared" si="20"/>
        <v>444.83000000000004</v>
      </c>
      <c r="F149" s="93">
        <f>Plan7!E85</f>
        <v>122.30016975515721</v>
      </c>
      <c r="G149" s="92">
        <f>Plan7!F85</f>
        <v>111.34777489221383</v>
      </c>
      <c r="H149" s="92">
        <f t="shared" si="21"/>
        <v>233.64794464737105</v>
      </c>
      <c r="I149" s="92">
        <f t="shared" si="22"/>
        <v>211.182055352629</v>
      </c>
    </row>
    <row r="150" spans="1:9" ht="10.5">
      <c r="A150" s="90">
        <f t="shared" si="23"/>
        <v>112</v>
      </c>
      <c r="B150" s="91">
        <f>B149+30</f>
        <v>35942</v>
      </c>
      <c r="C150" s="92">
        <f>Plan4!E83</f>
        <v>364.585118</v>
      </c>
      <c r="D150" s="92">
        <f>Plan4!F83</f>
        <v>80.24488200000002</v>
      </c>
      <c r="E150" s="92">
        <f t="shared" si="20"/>
        <v>444.83000000000004</v>
      </c>
      <c r="F150" s="93">
        <f>Plan7!E86</f>
        <v>121.24840894218605</v>
      </c>
      <c r="G150" s="92">
        <f>Plan7!F86</f>
        <v>112.399535705185</v>
      </c>
      <c r="H150" s="92">
        <f t="shared" si="21"/>
        <v>233.64794464737105</v>
      </c>
      <c r="I150" s="92">
        <f t="shared" si="22"/>
        <v>211.182055352629</v>
      </c>
    </row>
    <row r="154" spans="1:9" ht="10.5">
      <c r="A154" s="63" t="s">
        <v>0</v>
      </c>
      <c r="I154" s="65" t="s">
        <v>147</v>
      </c>
    </row>
    <row r="155" spans="1:9" ht="10.5">
      <c r="A155" s="63" t="s">
        <v>40</v>
      </c>
      <c r="I155" s="65" t="s">
        <v>149</v>
      </c>
    </row>
    <row r="156" ht="10.5">
      <c r="A156" s="63"/>
    </row>
    <row r="157" spans="1:7" ht="10.5">
      <c r="A157" s="60" t="s">
        <v>3</v>
      </c>
      <c r="C157" s="60" t="s">
        <v>188</v>
      </c>
      <c r="D157" s="60"/>
      <c r="E157" s="60"/>
      <c r="F157" s="60"/>
      <c r="G157" s="60"/>
    </row>
    <row r="158" spans="1:7" ht="10.5">
      <c r="A158" s="60" t="s">
        <v>4</v>
      </c>
      <c r="C158" s="60" t="s">
        <v>188</v>
      </c>
      <c r="D158" s="60"/>
      <c r="E158" s="60"/>
      <c r="F158" s="60"/>
      <c r="G158" s="60"/>
    </row>
    <row r="159" ht="10.5">
      <c r="A159" s="60"/>
    </row>
    <row r="160" spans="1:7" ht="10.5">
      <c r="A160" s="60"/>
      <c r="B160" s="60"/>
      <c r="C160" s="60" t="s">
        <v>146</v>
      </c>
      <c r="D160" s="60"/>
      <c r="E160" s="60"/>
      <c r="F160" s="60"/>
      <c r="G160" s="60"/>
    </row>
    <row r="162" ht="10.5">
      <c r="E162" s="60" t="s">
        <v>89</v>
      </c>
    </row>
    <row r="163" ht="11.25" thickBot="1">
      <c r="E163" s="60"/>
    </row>
    <row r="164" spans="1:9" s="141" customFormat="1" ht="61.5" customHeight="1" thickBot="1" thickTop="1">
      <c r="A164" s="150" t="s">
        <v>207</v>
      </c>
      <c r="B164" s="150" t="s">
        <v>5</v>
      </c>
      <c r="C164" s="150" t="s">
        <v>200</v>
      </c>
      <c r="D164" s="150" t="s">
        <v>201</v>
      </c>
      <c r="E164" s="150" t="s">
        <v>202</v>
      </c>
      <c r="F164" s="150" t="s">
        <v>203</v>
      </c>
      <c r="G164" s="150" t="s">
        <v>204</v>
      </c>
      <c r="H164" s="150" t="s">
        <v>205</v>
      </c>
      <c r="I164" s="150" t="s">
        <v>206</v>
      </c>
    </row>
    <row r="165" spans="1:9" s="141" customFormat="1" ht="11.25" customHeight="1" thickTop="1">
      <c r="A165" s="151"/>
      <c r="B165" s="151"/>
      <c r="C165" s="151"/>
      <c r="D165" s="151"/>
      <c r="E165" s="151"/>
      <c r="F165" s="151"/>
      <c r="G165" s="151"/>
      <c r="H165" s="151"/>
      <c r="I165" s="151"/>
    </row>
    <row r="166" spans="1:9" ht="10.5">
      <c r="A166" s="90">
        <f>A150+1</f>
        <v>113</v>
      </c>
      <c r="B166" s="91">
        <f>B150+31</f>
        <v>35973</v>
      </c>
      <c r="C166" s="92">
        <f>Plan4!E84</f>
        <v>365.24843500000003</v>
      </c>
      <c r="D166" s="92">
        <f>Plan4!F84</f>
        <v>79.58156500000001</v>
      </c>
      <c r="E166" s="92">
        <f aca="true" t="shared" si="24" ref="E166:E190">C166+D166</f>
        <v>444.83000000000004</v>
      </c>
      <c r="F166" s="93">
        <f>Plan7!E87</f>
        <v>120.61017088102012</v>
      </c>
      <c r="G166" s="92">
        <f>Plan7!F87</f>
        <v>113.03777376635092</v>
      </c>
      <c r="H166" s="92">
        <f aca="true" t="shared" si="25" ref="H166:H190">F166+G166</f>
        <v>233.64794464737105</v>
      </c>
      <c r="I166" s="92">
        <f aca="true" t="shared" si="26" ref="I166:I190">E166-H166</f>
        <v>211.182055352629</v>
      </c>
    </row>
    <row r="167" spans="1:9" ht="10.5">
      <c r="A167" s="90">
        <f aca="true" t="shared" si="27" ref="A167:A173">A166+1</f>
        <v>114</v>
      </c>
      <c r="B167" s="91">
        <f>B166+30</f>
        <v>36003</v>
      </c>
      <c r="C167" s="92">
        <f>Plan4!E85</f>
        <v>366.101589</v>
      </c>
      <c r="D167" s="92">
        <f>Plan4!F85</f>
        <v>78.72841100000005</v>
      </c>
      <c r="E167" s="92">
        <f t="shared" si="24"/>
        <v>444.83000000000004</v>
      </c>
      <c r="F167" s="93">
        <f>Plan7!E88</f>
        <v>120.03758077159816</v>
      </c>
      <c r="G167" s="92">
        <f>Plan7!F88</f>
        <v>113.61036387577289</v>
      </c>
      <c r="H167" s="92">
        <f t="shared" si="25"/>
        <v>233.64794464737105</v>
      </c>
      <c r="I167" s="92">
        <f t="shared" si="26"/>
        <v>211.182055352629</v>
      </c>
    </row>
    <row r="168" spans="1:9" ht="10.5">
      <c r="A168" s="90">
        <f t="shared" si="27"/>
        <v>115</v>
      </c>
      <c r="B168" s="91">
        <f>B167+31</f>
        <v>36034</v>
      </c>
      <c r="C168" s="92">
        <f>Plan4!E86</f>
        <v>365.929908</v>
      </c>
      <c r="D168" s="92">
        <f>Plan4!F86</f>
        <v>78.90009200000003</v>
      </c>
      <c r="E168" s="92">
        <f t="shared" si="24"/>
        <v>444.83000000000004</v>
      </c>
      <c r="F168" s="93">
        <f>Plan7!E89</f>
        <v>119.13103216089976</v>
      </c>
      <c r="G168" s="92">
        <f>Plan7!F89</f>
        <v>114.51691248647128</v>
      </c>
      <c r="H168" s="92">
        <f t="shared" si="25"/>
        <v>233.64794464737105</v>
      </c>
      <c r="I168" s="92">
        <f t="shared" si="26"/>
        <v>211.182055352629</v>
      </c>
    </row>
    <row r="169" spans="1:9" ht="10.5">
      <c r="A169" s="90">
        <f t="shared" si="27"/>
        <v>116</v>
      </c>
      <c r="B169" s="91">
        <f>B168+31</f>
        <v>36065</v>
      </c>
      <c r="C169" s="92">
        <f>Plan4!E87</f>
        <v>366.308514</v>
      </c>
      <c r="D169" s="92">
        <f>Plan4!F87</f>
        <v>78.52148600000004</v>
      </c>
      <c r="E169" s="92">
        <f t="shared" si="24"/>
        <v>444.83000000000004</v>
      </c>
      <c r="F169" s="93">
        <f>Plan7!E90</f>
        <v>118.41045355090928</v>
      </c>
      <c r="G169" s="92">
        <f>Plan7!F90</f>
        <v>115.23749109646177</v>
      </c>
      <c r="H169" s="92">
        <f t="shared" si="25"/>
        <v>233.64794464737105</v>
      </c>
      <c r="I169" s="92">
        <f t="shared" si="26"/>
        <v>211.182055352629</v>
      </c>
    </row>
    <row r="170" spans="1:9" ht="10.5">
      <c r="A170" s="90">
        <f t="shared" si="27"/>
        <v>117</v>
      </c>
      <c r="B170" s="91">
        <f>B169+30</f>
        <v>36095</v>
      </c>
      <c r="C170" s="92">
        <f>Plan4!E88</f>
        <v>366.59313599999996</v>
      </c>
      <c r="D170" s="92">
        <f>Plan4!F88</f>
        <v>78.23686400000008</v>
      </c>
      <c r="E170" s="92">
        <f t="shared" si="24"/>
        <v>444.83000000000004</v>
      </c>
      <c r="F170" s="93">
        <f>Plan7!E91</f>
        <v>117.66372618087296</v>
      </c>
      <c r="G170" s="92">
        <f>Plan7!F91</f>
        <v>115.98421846649809</v>
      </c>
      <c r="H170" s="92">
        <f t="shared" si="25"/>
        <v>233.64794464737105</v>
      </c>
      <c r="I170" s="92">
        <f t="shared" si="26"/>
        <v>211.182055352629</v>
      </c>
    </row>
    <row r="171" spans="1:9" ht="10.5">
      <c r="A171" s="90">
        <f t="shared" si="27"/>
        <v>118</v>
      </c>
      <c r="B171" s="91">
        <f>B170+31</f>
        <v>36126</v>
      </c>
      <c r="C171" s="92">
        <f>Plan4!E89</f>
        <v>369.888806</v>
      </c>
      <c r="D171" s="92">
        <f>Plan4!F89</f>
        <v>74.94119400000005</v>
      </c>
      <c r="E171" s="92">
        <f t="shared" si="24"/>
        <v>444.83000000000004</v>
      </c>
      <c r="F171" s="93">
        <f>Plan7!E92</f>
        <v>117.8880792252817</v>
      </c>
      <c r="G171" s="92">
        <f>Plan7!F92</f>
        <v>115.75986542208935</v>
      </c>
      <c r="H171" s="92">
        <f t="shared" si="25"/>
        <v>233.64794464737105</v>
      </c>
      <c r="I171" s="92">
        <f t="shared" si="26"/>
        <v>211.182055352629</v>
      </c>
    </row>
    <row r="172" spans="1:9" ht="10.5">
      <c r="A172" s="90">
        <f t="shared" si="27"/>
        <v>119</v>
      </c>
      <c r="B172" s="91">
        <f>B171+30</f>
        <v>36156</v>
      </c>
      <c r="C172" s="92">
        <f>Plan4!E90</f>
        <v>372.522583</v>
      </c>
      <c r="D172" s="92">
        <f>Plan4!F90</f>
        <v>114.06741700000003</v>
      </c>
      <c r="E172" s="92">
        <f t="shared" si="24"/>
        <v>486.59000000000003</v>
      </c>
      <c r="F172" s="93">
        <f>Plan7!E93</f>
        <v>117.89246384680615</v>
      </c>
      <c r="G172" s="92">
        <f>Plan7!F93</f>
        <v>128.254515235864</v>
      </c>
      <c r="H172" s="92">
        <f t="shared" si="25"/>
        <v>246.14697908267016</v>
      </c>
      <c r="I172" s="92">
        <f t="shared" si="26"/>
        <v>240.44302091732987</v>
      </c>
    </row>
    <row r="173" spans="1:9" ht="10.5">
      <c r="A173" s="90">
        <f t="shared" si="27"/>
        <v>120</v>
      </c>
      <c r="B173" s="91">
        <f>B172+31</f>
        <v>36187</v>
      </c>
      <c r="C173" s="92">
        <f>Plan4!E91</f>
        <v>372.18509500000005</v>
      </c>
      <c r="D173" s="92">
        <f>Plan4!F91</f>
        <v>114.40490499999999</v>
      </c>
      <c r="E173" s="92">
        <f t="shared" si="24"/>
        <v>486.59000000000003</v>
      </c>
      <c r="F173" s="93">
        <f>Plan7!E94</f>
        <v>116.95059547305623</v>
      </c>
      <c r="G173" s="92">
        <f>Plan7!F94</f>
        <v>129.19638360961392</v>
      </c>
      <c r="H173" s="92">
        <f t="shared" si="25"/>
        <v>246.14697908267016</v>
      </c>
      <c r="I173" s="92">
        <f t="shared" si="26"/>
        <v>240.44302091732987</v>
      </c>
    </row>
    <row r="174" spans="1:9" ht="10.5">
      <c r="A174" s="90">
        <f aca="true" t="shared" si="28" ref="A174:A184">A173+1</f>
        <v>121</v>
      </c>
      <c r="B174" s="91">
        <f>B173+31</f>
        <v>36218</v>
      </c>
      <c r="C174" s="92">
        <f>Plan4!E92</f>
        <v>372.18509500000005</v>
      </c>
      <c r="D174" s="92">
        <f>Plan4!F92</f>
        <v>114.40490499999999</v>
      </c>
      <c r="E174" s="92">
        <f t="shared" si="24"/>
        <v>486.59000000000003</v>
      </c>
      <c r="F174" s="93">
        <f>Plan7!E96</f>
        <v>126.47091032527912</v>
      </c>
      <c r="G174" s="92">
        <f>Plan7!F96</f>
        <v>119.67606875739104</v>
      </c>
      <c r="H174" s="92">
        <f t="shared" si="25"/>
        <v>246.14697908267016</v>
      </c>
      <c r="I174" s="92">
        <f t="shared" si="26"/>
        <v>240.44302091732987</v>
      </c>
    </row>
    <row r="175" spans="1:9" ht="10.5">
      <c r="A175" s="90">
        <f t="shared" si="28"/>
        <v>122</v>
      </c>
      <c r="B175" s="91">
        <f>B174+28</f>
        <v>36246</v>
      </c>
      <c r="C175" s="92">
        <f>Plan4!E93</f>
        <v>375.707804</v>
      </c>
      <c r="D175" s="92">
        <f>Plan4!F93</f>
        <v>110.88219600000002</v>
      </c>
      <c r="E175" s="92">
        <f t="shared" si="24"/>
        <v>486.59000000000003</v>
      </c>
      <c r="F175" s="93">
        <f>Plan7!E97</f>
        <v>126.59758326887923</v>
      </c>
      <c r="G175" s="92">
        <f>Plan7!F97</f>
        <v>119.54939581379092</v>
      </c>
      <c r="H175" s="92">
        <f t="shared" si="25"/>
        <v>246.14697908267016</v>
      </c>
      <c r="I175" s="92">
        <f t="shared" si="26"/>
        <v>240.44302091732987</v>
      </c>
    </row>
    <row r="176" spans="1:9" ht="10.5">
      <c r="A176" s="90">
        <f t="shared" si="28"/>
        <v>123</v>
      </c>
      <c r="B176" s="91">
        <f>B175+31</f>
        <v>36277</v>
      </c>
      <c r="C176" s="92">
        <f>Plan4!E94</f>
        <v>377.455319</v>
      </c>
      <c r="D176" s="92">
        <f>Plan4!F94</f>
        <v>109.13468100000006</v>
      </c>
      <c r="E176" s="92">
        <f t="shared" si="24"/>
        <v>486.59000000000003</v>
      </c>
      <c r="F176" s="93">
        <f>Plan7!E98</f>
        <v>126.28969767425707</v>
      </c>
      <c r="G176" s="92">
        <f>Plan7!F98</f>
        <v>119.85728140841309</v>
      </c>
      <c r="H176" s="92">
        <f t="shared" si="25"/>
        <v>246.14697908267016</v>
      </c>
      <c r="I176" s="92">
        <f t="shared" si="26"/>
        <v>240.44302091732987</v>
      </c>
    </row>
    <row r="177" spans="1:9" ht="10.5">
      <c r="A177" s="90">
        <f t="shared" si="28"/>
        <v>124</v>
      </c>
      <c r="B177" s="91">
        <f>B176+30</f>
        <v>36307</v>
      </c>
      <c r="C177" s="92">
        <f>Plan4!E95</f>
        <v>377.179241</v>
      </c>
      <c r="D177" s="92">
        <f>Plan4!F95</f>
        <v>109.41075900000004</v>
      </c>
      <c r="E177" s="92">
        <f t="shared" si="24"/>
        <v>486.59000000000003</v>
      </c>
      <c r="F177" s="93">
        <f>Plan7!E99</f>
        <v>125.30278384436916</v>
      </c>
      <c r="G177" s="92">
        <f>Plan7!F99</f>
        <v>120.844195238301</v>
      </c>
      <c r="H177" s="92">
        <f t="shared" si="25"/>
        <v>246.14697908267016</v>
      </c>
      <c r="I177" s="92">
        <f t="shared" si="26"/>
        <v>240.44302091732987</v>
      </c>
    </row>
    <row r="178" spans="1:9" ht="10.5">
      <c r="A178" s="90">
        <f t="shared" si="28"/>
        <v>125</v>
      </c>
      <c r="B178" s="91">
        <f>B177+31</f>
        <v>36338</v>
      </c>
      <c r="C178" s="92">
        <f>Plan4!E96</f>
        <v>377.873352</v>
      </c>
      <c r="D178" s="92">
        <f>Plan4!F96</f>
        <v>108.71664800000002</v>
      </c>
      <c r="E178" s="92">
        <f t="shared" si="24"/>
        <v>486.59000000000003</v>
      </c>
      <c r="F178" s="93">
        <f>Plan7!E100</f>
        <v>124.64582201256847</v>
      </c>
      <c r="G178" s="92">
        <f>Plan7!F100</f>
        <v>121.50115707010168</v>
      </c>
      <c r="H178" s="92">
        <f t="shared" si="25"/>
        <v>246.14697908267016</v>
      </c>
      <c r="I178" s="92">
        <f t="shared" si="26"/>
        <v>240.44302091732987</v>
      </c>
    </row>
    <row r="179" spans="1:9" ht="10.5">
      <c r="A179" s="90">
        <f t="shared" si="28"/>
        <v>126</v>
      </c>
      <c r="B179" s="91">
        <f>B178+30</f>
        <v>36368</v>
      </c>
      <c r="C179" s="92">
        <f>Plan4!E97</f>
        <v>376.775982</v>
      </c>
      <c r="D179" s="92">
        <f>Plan4!F97</f>
        <v>109.81401800000003</v>
      </c>
      <c r="E179" s="92">
        <f t="shared" si="24"/>
        <v>486.59000000000003</v>
      </c>
      <c r="F179" s="93">
        <f>Plan7!E101</f>
        <v>123.40094290054105</v>
      </c>
      <c r="G179" s="92">
        <f>Plan7!F101</f>
        <v>122.7460361821291</v>
      </c>
      <c r="H179" s="92">
        <f t="shared" si="25"/>
        <v>246.14697908267016</v>
      </c>
      <c r="I179" s="92">
        <f t="shared" si="26"/>
        <v>240.44302091732987</v>
      </c>
    </row>
    <row r="180" spans="1:9" ht="10.5">
      <c r="A180" s="90">
        <f t="shared" si="28"/>
        <v>127</v>
      </c>
      <c r="B180" s="91">
        <f>B179+31</f>
        <v>36399</v>
      </c>
      <c r="C180" s="92">
        <f>Plan4!E98</f>
        <v>376.250882</v>
      </c>
      <c r="D180" s="92">
        <f>Plan4!F98</f>
        <v>110.33911800000004</v>
      </c>
      <c r="E180" s="92">
        <f t="shared" si="24"/>
        <v>486.59000000000003</v>
      </c>
      <c r="F180" s="93">
        <f>Plan7!E102</f>
        <v>122.35488182833944</v>
      </c>
      <c r="G180" s="92">
        <f>Plan7!F102</f>
        <v>123.79209725433071</v>
      </c>
      <c r="H180" s="92">
        <f t="shared" si="25"/>
        <v>246.14697908267016</v>
      </c>
      <c r="I180" s="92">
        <f t="shared" si="26"/>
        <v>240.44302091732987</v>
      </c>
    </row>
    <row r="181" spans="1:9" ht="10.5">
      <c r="A181" s="90">
        <f t="shared" si="28"/>
        <v>128</v>
      </c>
      <c r="B181" s="91">
        <f>B180+31</f>
        <v>36430</v>
      </c>
      <c r="C181" s="92">
        <f>Plan4!E99</f>
        <v>375.971689</v>
      </c>
      <c r="D181" s="92">
        <f>Plan4!F99</f>
        <v>110.618311</v>
      </c>
      <c r="E181" s="92">
        <f t="shared" si="24"/>
        <v>486.59000000000003</v>
      </c>
      <c r="F181" s="93">
        <f>Plan7!E103</f>
        <v>121.39741787099915</v>
      </c>
      <c r="G181" s="92">
        <f>Plan7!F103</f>
        <v>124.74956121167101</v>
      </c>
      <c r="H181" s="92">
        <f t="shared" si="25"/>
        <v>246.14697908267016</v>
      </c>
      <c r="I181" s="92">
        <f t="shared" si="26"/>
        <v>240.44302091732987</v>
      </c>
    </row>
    <row r="182" spans="1:9" ht="10.5">
      <c r="A182" s="90">
        <f t="shared" si="28"/>
        <v>129</v>
      </c>
      <c r="B182" s="91">
        <f>B181+30</f>
        <v>36460</v>
      </c>
      <c r="C182" s="92">
        <f>Plan4!E100</f>
        <v>375.115064</v>
      </c>
      <c r="D182" s="92">
        <f>Plan4!F100</f>
        <v>111.47493600000001</v>
      </c>
      <c r="E182" s="92">
        <f t="shared" si="24"/>
        <v>486.59000000000003</v>
      </c>
      <c r="F182" s="93">
        <f>Plan7!E104</f>
        <v>120.26093257052277</v>
      </c>
      <c r="G182" s="92">
        <f>Plan7!F104</f>
        <v>125.88604651214739</v>
      </c>
      <c r="H182" s="92">
        <f t="shared" si="25"/>
        <v>246.14697908267016</v>
      </c>
      <c r="I182" s="92">
        <f t="shared" si="26"/>
        <v>240.44302091732987</v>
      </c>
    </row>
    <row r="183" spans="1:9" ht="10.5">
      <c r="A183" s="90">
        <f t="shared" si="28"/>
        <v>130</v>
      </c>
      <c r="B183" s="91">
        <f>B182+31</f>
        <v>36491</v>
      </c>
      <c r="C183" s="92">
        <f>Plan4!E101</f>
        <v>374.31976000000003</v>
      </c>
      <c r="D183" s="92">
        <f>Plan4!F101</f>
        <v>112.27024</v>
      </c>
      <c r="E183" s="92">
        <f t="shared" si="24"/>
        <v>486.59000000000003</v>
      </c>
      <c r="F183" s="93">
        <f>Plan7!E105</f>
        <v>119.15412032298322</v>
      </c>
      <c r="G183" s="92">
        <f>Plan7!F105</f>
        <v>126.99285875968694</v>
      </c>
      <c r="H183" s="92">
        <f t="shared" si="25"/>
        <v>246.14697908267016</v>
      </c>
      <c r="I183" s="92">
        <f t="shared" si="26"/>
        <v>240.44302091732987</v>
      </c>
    </row>
    <row r="184" spans="1:9" ht="10.5">
      <c r="A184" s="90">
        <f t="shared" si="28"/>
        <v>131</v>
      </c>
      <c r="B184" s="91">
        <f>B183+30</f>
        <v>36521</v>
      </c>
      <c r="C184" s="92">
        <f>Plan4!E102</f>
        <v>373.439995</v>
      </c>
      <c r="D184" s="92">
        <f>Plan4!F102</f>
        <v>145.430005</v>
      </c>
      <c r="E184" s="92">
        <f t="shared" si="24"/>
        <v>518.87</v>
      </c>
      <c r="F184" s="93">
        <f>Plan7!E106</f>
        <v>118.03007201855188</v>
      </c>
      <c r="G184" s="92">
        <f>Plan7!F106</f>
        <v>144.45758229510704</v>
      </c>
      <c r="H184" s="92">
        <f t="shared" si="25"/>
        <v>262.48765431365894</v>
      </c>
      <c r="I184" s="92">
        <f t="shared" si="26"/>
        <v>256.38234568634107</v>
      </c>
    </row>
    <row r="185" spans="1:9" ht="10.5">
      <c r="A185" s="90">
        <f aca="true" t="shared" si="29" ref="A185:A190">A184+1</f>
        <v>132</v>
      </c>
      <c r="B185" s="91">
        <f>B184+31</f>
        <v>36552</v>
      </c>
      <c r="C185" s="92">
        <f>Plan4!E103</f>
        <v>372.496061</v>
      </c>
      <c r="D185" s="92">
        <f>Plan4!F103</f>
        <v>146.373939</v>
      </c>
      <c r="E185" s="92">
        <f t="shared" si="24"/>
        <v>518.87</v>
      </c>
      <c r="F185" s="93">
        <f>Plan7!E107</f>
        <v>116.89569261114225</v>
      </c>
      <c r="G185" s="92">
        <f>Plan7!F107</f>
        <v>145.5919617025167</v>
      </c>
      <c r="H185" s="92">
        <f t="shared" si="25"/>
        <v>262.48765431365894</v>
      </c>
      <c r="I185" s="92">
        <f t="shared" si="26"/>
        <v>256.38234568634107</v>
      </c>
    </row>
    <row r="186" spans="1:9" ht="10.5">
      <c r="A186" s="90">
        <f t="shared" si="29"/>
        <v>133</v>
      </c>
      <c r="B186" s="91">
        <f>B185+31</f>
        <v>36583</v>
      </c>
      <c r="C186" s="92">
        <f>Plan4!E104</f>
        <v>372.496061</v>
      </c>
      <c r="D186" s="92">
        <f>Plan4!F104</f>
        <v>146.373939</v>
      </c>
      <c r="E186" s="92">
        <f t="shared" si="24"/>
        <v>518.87</v>
      </c>
      <c r="F186" s="93">
        <f>Plan7!E109</f>
        <v>126.21419814626056</v>
      </c>
      <c r="G186" s="92">
        <f>Plan7!F109</f>
        <v>136.27345616739836</v>
      </c>
      <c r="H186" s="92">
        <f t="shared" si="25"/>
        <v>262.48765431365894</v>
      </c>
      <c r="I186" s="92">
        <f t="shared" si="26"/>
        <v>256.38234568634107</v>
      </c>
    </row>
    <row r="187" spans="1:9" ht="10.5">
      <c r="A187" s="90">
        <f t="shared" si="29"/>
        <v>134</v>
      </c>
      <c r="B187" s="91">
        <f>B186+29</f>
        <v>36612</v>
      </c>
      <c r="C187" s="92">
        <f>Plan4!E105</f>
        <v>370.626349</v>
      </c>
      <c r="D187" s="92">
        <f>Plan4!F105</f>
        <v>148.243651</v>
      </c>
      <c r="E187" s="92">
        <f t="shared" si="24"/>
        <v>518.87</v>
      </c>
      <c r="F187" s="93">
        <f>Plan7!E110</f>
        <v>124.97908470997679</v>
      </c>
      <c r="G187" s="92">
        <f>Plan7!F110</f>
        <v>161.2985696036821</v>
      </c>
      <c r="H187" s="92">
        <f t="shared" si="25"/>
        <v>286.2776543136589</v>
      </c>
      <c r="I187" s="92">
        <f t="shared" si="26"/>
        <v>232.5923456863411</v>
      </c>
    </row>
    <row r="188" spans="1:9" ht="10.5">
      <c r="A188" s="90">
        <f t="shared" si="29"/>
        <v>135</v>
      </c>
      <c r="B188" s="91">
        <f>B187+31</f>
        <v>36643</v>
      </c>
      <c r="C188" s="92">
        <f>Plan4!E106</f>
        <v>369.046421</v>
      </c>
      <c r="D188" s="92">
        <f>Plan4!F106</f>
        <v>149.823579</v>
      </c>
      <c r="E188" s="92">
        <f t="shared" si="24"/>
        <v>518.87</v>
      </c>
      <c r="F188" s="93">
        <f>Plan7!E111</f>
        <v>123.56105672271916</v>
      </c>
      <c r="G188" s="92">
        <f>Plan7!F111</f>
        <v>162.71659759093973</v>
      </c>
      <c r="H188" s="92">
        <f t="shared" si="25"/>
        <v>286.2776543136589</v>
      </c>
      <c r="I188" s="92">
        <f t="shared" si="26"/>
        <v>232.5923456863411</v>
      </c>
    </row>
    <row r="189" spans="1:9" ht="10.5">
      <c r="A189" s="90">
        <f t="shared" si="29"/>
        <v>136</v>
      </c>
      <c r="B189" s="91">
        <f>B188+30</f>
        <v>36673</v>
      </c>
      <c r="C189" s="92">
        <f>Plan4!E107</f>
        <v>367.923686</v>
      </c>
      <c r="D189" s="92">
        <f>Plan4!F107</f>
        <v>150.94631400000003</v>
      </c>
      <c r="E189" s="92">
        <f t="shared" si="24"/>
        <v>518.87</v>
      </c>
      <c r="F189" s="93">
        <f>Plan7!E112</f>
        <v>122.30993645612968</v>
      </c>
      <c r="G189" s="92">
        <f>Plan7!F112</f>
        <v>163.96771785752924</v>
      </c>
      <c r="H189" s="92">
        <f t="shared" si="25"/>
        <v>286.2776543136589</v>
      </c>
      <c r="I189" s="92">
        <f t="shared" si="26"/>
        <v>232.5923456863411</v>
      </c>
    </row>
    <row r="190" spans="1:9" ht="10.5">
      <c r="A190" s="90">
        <f t="shared" si="29"/>
        <v>137</v>
      </c>
      <c r="B190" s="91">
        <f>B189+31</f>
        <v>36704</v>
      </c>
      <c r="C190" s="92">
        <f>Plan4!E108</f>
        <v>366.705454</v>
      </c>
      <c r="D190" s="92">
        <f>Plan4!F108</f>
        <v>152.16454600000003</v>
      </c>
      <c r="E190" s="92">
        <f t="shared" si="24"/>
        <v>518.87</v>
      </c>
      <c r="F190" s="93">
        <f>Plan7!E113</f>
        <v>121.0386026168975</v>
      </c>
      <c r="G190" s="92">
        <f>Plan7!F113</f>
        <v>165.2390516967614</v>
      </c>
      <c r="H190" s="92">
        <f t="shared" si="25"/>
        <v>286.2776543136589</v>
      </c>
      <c r="I190" s="92">
        <f t="shared" si="26"/>
        <v>232.5923456863411</v>
      </c>
    </row>
    <row r="191" spans="1:9" ht="10.5">
      <c r="A191" s="90"/>
      <c r="B191" s="91"/>
      <c r="C191" s="92"/>
      <c r="D191" s="92"/>
      <c r="E191" s="92"/>
      <c r="F191" s="93"/>
      <c r="G191" s="92"/>
      <c r="H191" s="92"/>
      <c r="I191" s="92"/>
    </row>
    <row r="192" spans="1:9" ht="10.5">
      <c r="A192" s="95"/>
      <c r="B192" s="96"/>
      <c r="C192" s="97"/>
      <c r="D192" s="97"/>
      <c r="E192" s="97"/>
      <c r="F192" s="97"/>
      <c r="G192" s="97"/>
      <c r="H192" s="97"/>
      <c r="I192" s="98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C239" sqref="C239"/>
    </sheetView>
  </sheetViews>
  <sheetFormatPr defaultColWidth="14.28125" defaultRowHeight="12.75"/>
  <cols>
    <col min="1" max="16384" width="13.28125" style="64" customWidth="1"/>
  </cols>
  <sheetData>
    <row r="1" spans="1:10" ht="10.5">
      <c r="A1" s="63"/>
      <c r="J1" s="65" t="s">
        <v>150</v>
      </c>
    </row>
    <row r="2" spans="1:10" ht="10.5">
      <c r="A2" s="63"/>
      <c r="J2" s="65" t="s">
        <v>2</v>
      </c>
    </row>
    <row r="3" ht="10.5">
      <c r="A3" s="63"/>
    </row>
    <row r="4" spans="1:7" ht="10.5">
      <c r="A4" s="60" t="s">
        <v>208</v>
      </c>
      <c r="B4" s="60" t="s">
        <v>188</v>
      </c>
      <c r="D4" s="60"/>
      <c r="E4" s="60"/>
      <c r="F4" s="60"/>
      <c r="G4" s="60"/>
    </row>
    <row r="5" spans="1:7" ht="10.5">
      <c r="A5" s="60" t="s">
        <v>4</v>
      </c>
      <c r="B5" s="60" t="s">
        <v>188</v>
      </c>
      <c r="D5" s="60"/>
      <c r="E5" s="60"/>
      <c r="F5" s="60"/>
      <c r="G5" s="60"/>
    </row>
    <row r="6" ht="10.5">
      <c r="A6" s="60"/>
    </row>
    <row r="7" spans="1:5" ht="10.5">
      <c r="A7" s="60" t="s">
        <v>178</v>
      </c>
      <c r="B7" s="60"/>
      <c r="C7" s="60"/>
      <c r="D7" s="60"/>
      <c r="E7" s="60"/>
    </row>
    <row r="8" ht="10.5">
      <c r="C8" s="60" t="s">
        <v>89</v>
      </c>
    </row>
    <row r="9" ht="11.25" thickBot="1"/>
    <row r="10" spans="1:10" ht="10.5" customHeight="1" thickTop="1">
      <c r="A10" s="82" t="s">
        <v>66</v>
      </c>
      <c r="B10" s="82" t="s">
        <v>5</v>
      </c>
      <c r="C10" s="82" t="s">
        <v>139</v>
      </c>
      <c r="D10" s="82" t="s">
        <v>151</v>
      </c>
      <c r="E10" s="82" t="s">
        <v>59</v>
      </c>
      <c r="F10" s="82" t="s">
        <v>151</v>
      </c>
      <c r="G10" s="82" t="s">
        <v>59</v>
      </c>
      <c r="H10" s="82" t="s">
        <v>158</v>
      </c>
      <c r="I10" s="82" t="s">
        <v>59</v>
      </c>
      <c r="J10" s="82" t="s">
        <v>59</v>
      </c>
    </row>
    <row r="11" spans="1:10" ht="10.5">
      <c r="A11" s="84" t="s">
        <v>64</v>
      </c>
      <c r="B11" s="84"/>
      <c r="C11" s="84" t="s">
        <v>143</v>
      </c>
      <c r="D11" s="84" t="s">
        <v>152</v>
      </c>
      <c r="E11" s="84" t="s">
        <v>34</v>
      </c>
      <c r="F11" s="84" t="s">
        <v>152</v>
      </c>
      <c r="G11" s="84" t="s">
        <v>152</v>
      </c>
      <c r="H11" s="84" t="s">
        <v>87</v>
      </c>
      <c r="I11" s="84" t="s">
        <v>87</v>
      </c>
      <c r="J11" s="84" t="s">
        <v>162</v>
      </c>
    </row>
    <row r="12" spans="1:10" ht="10.5">
      <c r="A12" s="84" t="s">
        <v>90</v>
      </c>
      <c r="B12" s="84"/>
      <c r="C12" s="84" t="s">
        <v>144</v>
      </c>
      <c r="D12" s="84" t="s">
        <v>153</v>
      </c>
      <c r="E12" s="84"/>
      <c r="F12" s="84" t="s">
        <v>153</v>
      </c>
      <c r="G12" s="84" t="s">
        <v>153</v>
      </c>
      <c r="H12" s="84" t="s">
        <v>64</v>
      </c>
      <c r="I12" s="84" t="s">
        <v>64</v>
      </c>
      <c r="J12" s="84" t="s">
        <v>152</v>
      </c>
    </row>
    <row r="13" spans="1:10" ht="10.5">
      <c r="A13" s="84"/>
      <c r="B13" s="84"/>
      <c r="C13" s="84" t="s">
        <v>140</v>
      </c>
      <c r="D13" s="84" t="s">
        <v>154</v>
      </c>
      <c r="E13" s="84"/>
      <c r="F13" s="84" t="s">
        <v>154</v>
      </c>
      <c r="G13" s="84"/>
      <c r="H13" s="84" t="s">
        <v>159</v>
      </c>
      <c r="I13" s="84" t="s">
        <v>159</v>
      </c>
      <c r="J13" s="84" t="s">
        <v>153</v>
      </c>
    </row>
    <row r="14" spans="1:10" ht="10.5">
      <c r="A14" s="84"/>
      <c r="B14" s="84"/>
      <c r="C14" s="84" t="s">
        <v>141</v>
      </c>
      <c r="D14" s="84" t="s">
        <v>155</v>
      </c>
      <c r="E14" s="84"/>
      <c r="F14" s="84" t="s">
        <v>157</v>
      </c>
      <c r="G14" s="84" t="s">
        <v>157</v>
      </c>
      <c r="H14" s="84" t="s">
        <v>160</v>
      </c>
      <c r="I14" s="84" t="s">
        <v>157</v>
      </c>
      <c r="J14" s="84" t="s">
        <v>163</v>
      </c>
    </row>
    <row r="15" spans="1:10" ht="10.5">
      <c r="A15" s="84"/>
      <c r="B15" s="84"/>
      <c r="C15" s="84" t="s">
        <v>145</v>
      </c>
      <c r="D15" s="84" t="s">
        <v>156</v>
      </c>
      <c r="E15" s="84"/>
      <c r="F15" s="116">
        <v>41698</v>
      </c>
      <c r="G15" s="116">
        <v>41698</v>
      </c>
      <c r="H15" s="84" t="s">
        <v>161</v>
      </c>
      <c r="I15" s="116">
        <v>41698</v>
      </c>
      <c r="J15" s="84" t="s">
        <v>159</v>
      </c>
    </row>
    <row r="16" spans="1:10" ht="10.5">
      <c r="A16" s="84"/>
      <c r="B16" s="84"/>
      <c r="C16" s="84" t="s">
        <v>142</v>
      </c>
      <c r="D16" s="84"/>
      <c r="E16" s="84"/>
      <c r="F16" s="84"/>
      <c r="G16" s="84"/>
      <c r="H16" s="116">
        <v>37663</v>
      </c>
      <c r="I16" s="84"/>
      <c r="J16" s="84" t="s">
        <v>157</v>
      </c>
    </row>
    <row r="17" spans="1:10" ht="11.25" thickBot="1">
      <c r="A17" s="86"/>
      <c r="B17" s="86"/>
      <c r="C17" s="86" t="s">
        <v>11</v>
      </c>
      <c r="D17" s="86"/>
      <c r="E17" s="86"/>
      <c r="F17" s="86"/>
      <c r="G17" s="86"/>
      <c r="H17" s="86" t="s">
        <v>164</v>
      </c>
      <c r="I17" s="86"/>
      <c r="J17" s="117"/>
    </row>
    <row r="18" spans="1:10" ht="11.25" thickTop="1">
      <c r="A18" s="90">
        <v>0</v>
      </c>
      <c r="B18" s="91">
        <v>32535</v>
      </c>
      <c r="C18" s="92">
        <f>Plan9!I12</f>
        <v>0</v>
      </c>
      <c r="D18" s="108">
        <v>6.17</v>
      </c>
      <c r="E18" s="92">
        <f>C18/D18</f>
        <v>0</v>
      </c>
      <c r="F18" s="118">
        <v>52.868217</v>
      </c>
      <c r="G18" s="92">
        <f>E18*F18</f>
        <v>0</v>
      </c>
      <c r="H18" s="92">
        <v>132</v>
      </c>
      <c r="I18" s="92">
        <f>G18*H18/100</f>
        <v>0</v>
      </c>
      <c r="J18" s="92">
        <f>G18+I18</f>
        <v>0</v>
      </c>
    </row>
    <row r="19" spans="1:10" ht="10.5">
      <c r="A19" s="90">
        <f>A18+1</f>
        <v>1</v>
      </c>
      <c r="B19" s="91">
        <v>32566</v>
      </c>
      <c r="C19" s="92">
        <f>Plan9!I13</f>
        <v>0</v>
      </c>
      <c r="D19" s="108">
        <v>8.805824</v>
      </c>
      <c r="E19" s="92">
        <f aca="true" t="shared" si="0" ref="E19:E57">C19/D19</f>
        <v>0</v>
      </c>
      <c r="F19" s="118">
        <v>52.868217</v>
      </c>
      <c r="G19" s="92">
        <f aca="true" t="shared" si="1" ref="G19:G57">E19*F19</f>
        <v>0</v>
      </c>
      <c r="H19" s="92">
        <v>132</v>
      </c>
      <c r="I19" s="92">
        <f aca="true" t="shared" si="2" ref="I19:I57">G19*H19/100</f>
        <v>0</v>
      </c>
      <c r="J19" s="92">
        <f aca="true" t="shared" si="3" ref="J19:J57">G19+I19</f>
        <v>0</v>
      </c>
    </row>
    <row r="20" spans="1:10" ht="10.5">
      <c r="A20" s="90">
        <f aca="true" t="shared" si="4" ref="A20:A30">A19+1</f>
        <v>2</v>
      </c>
      <c r="B20" s="91">
        <f>B19+28</f>
        <v>32594</v>
      </c>
      <c r="C20" s="92">
        <f>Plan9!I14</f>
        <v>0</v>
      </c>
      <c r="D20" s="108">
        <v>9.698734</v>
      </c>
      <c r="E20" s="92">
        <f t="shared" si="0"/>
        <v>0</v>
      </c>
      <c r="F20" s="118">
        <v>52.868217</v>
      </c>
      <c r="G20" s="92">
        <f t="shared" si="1"/>
        <v>0</v>
      </c>
      <c r="H20" s="92">
        <v>132</v>
      </c>
      <c r="I20" s="92">
        <f t="shared" si="2"/>
        <v>0</v>
      </c>
      <c r="J20" s="92">
        <f t="shared" si="3"/>
        <v>0</v>
      </c>
    </row>
    <row r="21" spans="1:10" ht="10.5">
      <c r="A21" s="90">
        <f t="shared" si="4"/>
        <v>3</v>
      </c>
      <c r="B21" s="91">
        <f>B20+31</f>
        <v>32625</v>
      </c>
      <c r="C21" s="92">
        <f>Plan9!I15</f>
        <v>0</v>
      </c>
      <c r="D21" s="108">
        <v>10.289386</v>
      </c>
      <c r="E21" s="92">
        <f t="shared" si="0"/>
        <v>0</v>
      </c>
      <c r="F21" s="118">
        <v>52.868217</v>
      </c>
      <c r="G21" s="92">
        <f t="shared" si="1"/>
        <v>0</v>
      </c>
      <c r="H21" s="92">
        <v>132</v>
      </c>
      <c r="I21" s="92">
        <f t="shared" si="2"/>
        <v>0</v>
      </c>
      <c r="J21" s="92">
        <f t="shared" si="3"/>
        <v>0</v>
      </c>
    </row>
    <row r="22" spans="1:10" ht="10.5">
      <c r="A22" s="90">
        <f t="shared" si="4"/>
        <v>4</v>
      </c>
      <c r="B22" s="91">
        <f>B21+30</f>
        <v>32655</v>
      </c>
      <c r="C22" s="92">
        <f>Plan9!I16</f>
        <v>0</v>
      </c>
      <c r="D22" s="108">
        <v>11.04154</v>
      </c>
      <c r="E22" s="92">
        <f t="shared" si="0"/>
        <v>0</v>
      </c>
      <c r="F22" s="118">
        <v>52.868217</v>
      </c>
      <c r="G22" s="92">
        <f t="shared" si="1"/>
        <v>0</v>
      </c>
      <c r="H22" s="92">
        <v>132</v>
      </c>
      <c r="I22" s="92">
        <f t="shared" si="2"/>
        <v>0</v>
      </c>
      <c r="J22" s="92">
        <f t="shared" si="3"/>
        <v>0</v>
      </c>
    </row>
    <row r="23" spans="1:10" ht="15" customHeight="1">
      <c r="A23" s="90">
        <f t="shared" si="4"/>
        <v>5</v>
      </c>
      <c r="B23" s="91">
        <f>B22+31</f>
        <v>32686</v>
      </c>
      <c r="C23" s="92">
        <f>Plan9!I17</f>
        <v>23.902992502508994</v>
      </c>
      <c r="D23" s="108">
        <v>12.139069</v>
      </c>
      <c r="E23" s="92">
        <f t="shared" si="0"/>
        <v>1.9690960239627104</v>
      </c>
      <c r="F23" s="118">
        <v>52.868217</v>
      </c>
      <c r="G23" s="92">
        <f t="shared" si="1"/>
        <v>104.10259588869778</v>
      </c>
      <c r="H23" s="92">
        <v>132</v>
      </c>
      <c r="I23" s="92">
        <f t="shared" si="2"/>
        <v>137.41542657308105</v>
      </c>
      <c r="J23" s="92">
        <f t="shared" si="3"/>
        <v>241.51802246177883</v>
      </c>
    </row>
    <row r="24" spans="1:10" ht="10.5">
      <c r="A24" s="90">
        <f t="shared" si="4"/>
        <v>6</v>
      </c>
      <c r="B24" s="91">
        <f>B23+30</f>
        <v>32716</v>
      </c>
      <c r="C24" s="92">
        <f>Plan9!I18</f>
        <v>23.902992502508994</v>
      </c>
      <c r="D24" s="108">
        <v>15.153199</v>
      </c>
      <c r="E24" s="92">
        <f t="shared" si="0"/>
        <v>1.5774221999268268</v>
      </c>
      <c r="F24" s="118">
        <v>52.868217</v>
      </c>
      <c r="G24" s="92">
        <f t="shared" si="1"/>
        <v>83.39549916634887</v>
      </c>
      <c r="H24" s="92">
        <v>132</v>
      </c>
      <c r="I24" s="92">
        <f t="shared" si="2"/>
        <v>110.08205889958052</v>
      </c>
      <c r="J24" s="92">
        <f t="shared" si="3"/>
        <v>193.47755806592937</v>
      </c>
    </row>
    <row r="25" spans="1:10" ht="10.5">
      <c r="A25" s="90">
        <f t="shared" si="4"/>
        <v>7</v>
      </c>
      <c r="B25" s="91">
        <f>B24+31</f>
        <v>32747</v>
      </c>
      <c r="C25" s="92">
        <f>Plan9!I19</f>
        <v>26.261073262884423</v>
      </c>
      <c r="D25" s="108">
        <v>19.511259</v>
      </c>
      <c r="E25" s="92">
        <f t="shared" si="0"/>
        <v>1.3459445780963917</v>
      </c>
      <c r="F25" s="118">
        <v>52.868217</v>
      </c>
      <c r="G25" s="92">
        <f t="shared" si="1"/>
        <v>71.15769002477349</v>
      </c>
      <c r="H25" s="92">
        <v>132</v>
      </c>
      <c r="I25" s="92">
        <f t="shared" si="2"/>
        <v>93.928150832701</v>
      </c>
      <c r="J25" s="92">
        <f t="shared" si="3"/>
        <v>165.08584085747447</v>
      </c>
    </row>
    <row r="26" spans="1:10" ht="10.5">
      <c r="A26" s="90">
        <f t="shared" si="4"/>
        <v>8</v>
      </c>
      <c r="B26" s="91">
        <f>B25+31</f>
        <v>32778</v>
      </c>
      <c r="C26" s="92">
        <f>Plan9!I20</f>
        <v>26.261073262884423</v>
      </c>
      <c r="D26" s="108">
        <v>25.235862</v>
      </c>
      <c r="E26" s="92">
        <f t="shared" si="0"/>
        <v>1.040625173131967</v>
      </c>
      <c r="F26" s="118">
        <v>52.868217</v>
      </c>
      <c r="G26" s="92">
        <f t="shared" si="1"/>
        <v>55.0159974688034</v>
      </c>
      <c r="H26" s="92">
        <v>132</v>
      </c>
      <c r="I26" s="92">
        <f t="shared" si="2"/>
        <v>72.62111665882048</v>
      </c>
      <c r="J26" s="92">
        <f t="shared" si="3"/>
        <v>127.63711412762387</v>
      </c>
    </row>
    <row r="27" spans="1:10" ht="10.5">
      <c r="A27" s="90">
        <f t="shared" si="4"/>
        <v>9</v>
      </c>
      <c r="B27" s="91">
        <f>B26+30</f>
        <v>32808</v>
      </c>
      <c r="C27" s="92">
        <f>Plan9!I21</f>
        <v>49.77871361945796</v>
      </c>
      <c r="D27" s="108">
        <v>34.308154</v>
      </c>
      <c r="E27" s="92">
        <f t="shared" si="0"/>
        <v>1.4509295259505353</v>
      </c>
      <c r="F27" s="118">
        <v>52.868217</v>
      </c>
      <c r="G27" s="92">
        <f t="shared" si="1"/>
        <v>76.70805702966003</v>
      </c>
      <c r="H27" s="92">
        <v>132</v>
      </c>
      <c r="I27" s="92">
        <f t="shared" si="2"/>
        <v>101.25463527915123</v>
      </c>
      <c r="J27" s="92">
        <f t="shared" si="3"/>
        <v>177.96269230881126</v>
      </c>
    </row>
    <row r="28" spans="1:10" ht="10.5">
      <c r="A28" s="90">
        <f t="shared" si="4"/>
        <v>10</v>
      </c>
      <c r="B28" s="91">
        <f>B27+31</f>
        <v>32839</v>
      </c>
      <c r="C28" s="92">
        <f>Plan9!I22</f>
        <v>61.31224039199469</v>
      </c>
      <c r="D28" s="108">
        <v>47.214881</v>
      </c>
      <c r="E28" s="92">
        <f t="shared" si="0"/>
        <v>1.2985787339376054</v>
      </c>
      <c r="F28" s="118">
        <v>52.868217</v>
      </c>
      <c r="G28" s="92">
        <f t="shared" si="1"/>
        <v>68.65354229739859</v>
      </c>
      <c r="H28" s="92">
        <v>132</v>
      </c>
      <c r="I28" s="92">
        <f t="shared" si="2"/>
        <v>90.62267583256613</v>
      </c>
      <c r="J28" s="92">
        <f t="shared" si="3"/>
        <v>159.27621812996472</v>
      </c>
    </row>
    <row r="29" spans="1:10" ht="10.5">
      <c r="A29" s="90">
        <f t="shared" si="4"/>
        <v>11</v>
      </c>
      <c r="B29" s="91">
        <f>B28+30</f>
        <v>32869</v>
      </c>
      <c r="C29" s="92">
        <f>Plan9!I23</f>
        <v>79.37427593128268</v>
      </c>
      <c r="D29" s="108">
        <v>66.771284</v>
      </c>
      <c r="E29" s="92">
        <f t="shared" si="0"/>
        <v>1.1887486832106253</v>
      </c>
      <c r="F29" s="118">
        <v>52.868217</v>
      </c>
      <c r="G29" s="92">
        <f t="shared" si="1"/>
        <v>62.8470233424436</v>
      </c>
      <c r="H29" s="92">
        <v>132</v>
      </c>
      <c r="I29" s="92">
        <f t="shared" si="2"/>
        <v>82.95807081202554</v>
      </c>
      <c r="J29" s="92">
        <f t="shared" si="3"/>
        <v>145.80509415446915</v>
      </c>
    </row>
    <row r="30" spans="1:10" ht="10.5">
      <c r="A30" s="90">
        <f t="shared" si="4"/>
        <v>12</v>
      </c>
      <c r="B30" s="91">
        <f>B29+31</f>
        <v>32900</v>
      </c>
      <c r="C30" s="92">
        <f>Plan9!I24</f>
        <v>199.58950292225018</v>
      </c>
      <c r="D30" s="108">
        <v>102.527306</v>
      </c>
      <c r="E30" s="92">
        <f t="shared" si="0"/>
        <v>1.9466960628249628</v>
      </c>
      <c r="F30" s="118">
        <v>52.868217</v>
      </c>
      <c r="G30" s="92">
        <f t="shared" si="1"/>
        <v>102.91834988247577</v>
      </c>
      <c r="H30" s="92">
        <v>132</v>
      </c>
      <c r="I30" s="92">
        <f t="shared" si="2"/>
        <v>135.852221844868</v>
      </c>
      <c r="J30" s="92">
        <f t="shared" si="3"/>
        <v>238.7705717273438</v>
      </c>
    </row>
    <row r="31" spans="1:10" ht="10.5">
      <c r="A31" s="90">
        <f>A30+1</f>
        <v>13</v>
      </c>
      <c r="B31" s="91">
        <f>B29+62</f>
        <v>32931</v>
      </c>
      <c r="C31" s="92">
        <f>Plan9!I25</f>
        <v>268.81183659011754</v>
      </c>
      <c r="D31" s="108">
        <v>160.055377</v>
      </c>
      <c r="E31" s="92">
        <f t="shared" si="0"/>
        <v>1.6794926957693996</v>
      </c>
      <c r="F31" s="118">
        <v>52.868217</v>
      </c>
      <c r="G31" s="92">
        <f t="shared" si="1"/>
        <v>88.7917842898516</v>
      </c>
      <c r="H31" s="92">
        <v>132</v>
      </c>
      <c r="I31" s="92">
        <f t="shared" si="2"/>
        <v>117.20515526260411</v>
      </c>
      <c r="J31" s="92">
        <f t="shared" si="3"/>
        <v>205.99693955245573</v>
      </c>
    </row>
    <row r="32" spans="1:10" ht="10.5">
      <c r="A32" s="90">
        <f aca="true" t="shared" si="5" ref="A32:A42">A31+1</f>
        <v>14</v>
      </c>
      <c r="B32" s="91">
        <f>B31+28</f>
        <v>32959</v>
      </c>
      <c r="C32" s="92">
        <f>Plan9!I26</f>
        <v>393.1022569218949</v>
      </c>
      <c r="D32" s="108">
        <v>276.54368</v>
      </c>
      <c r="E32" s="92">
        <f t="shared" si="0"/>
        <v>1.4214834232403897</v>
      </c>
      <c r="F32" s="118">
        <v>52.868217</v>
      </c>
      <c r="G32" s="92">
        <f t="shared" si="1"/>
        <v>75.15129408177576</v>
      </c>
      <c r="H32" s="92">
        <v>132</v>
      </c>
      <c r="I32" s="92">
        <f t="shared" si="2"/>
        <v>99.199708187944</v>
      </c>
      <c r="J32" s="92">
        <f t="shared" si="3"/>
        <v>174.35100226971974</v>
      </c>
    </row>
    <row r="33" spans="1:10" ht="10.5">
      <c r="A33" s="90">
        <f t="shared" si="5"/>
        <v>15</v>
      </c>
      <c r="B33" s="91">
        <f>B32+31</f>
        <v>32990</v>
      </c>
      <c r="C33" s="92">
        <f>Plan9!I27</f>
        <v>676.556229411417</v>
      </c>
      <c r="D33" s="108">
        <v>509.72531</v>
      </c>
      <c r="E33" s="92">
        <f t="shared" si="0"/>
        <v>1.3272957338755986</v>
      </c>
      <c r="F33" s="118">
        <v>52.868217</v>
      </c>
      <c r="G33" s="92">
        <f t="shared" si="1"/>
        <v>70.1717588817094</v>
      </c>
      <c r="H33" s="92">
        <v>132</v>
      </c>
      <c r="I33" s="92">
        <f t="shared" si="2"/>
        <v>92.6267217238564</v>
      </c>
      <c r="J33" s="92">
        <f t="shared" si="3"/>
        <v>162.7984806055658</v>
      </c>
    </row>
    <row r="34" spans="1:10" ht="10.5">
      <c r="A34" s="90">
        <f t="shared" si="5"/>
        <v>16</v>
      </c>
      <c r="B34" s="91">
        <f>B33+30</f>
        <v>33020</v>
      </c>
      <c r="C34" s="92">
        <f>Plan9!I28</f>
        <v>1168.9443591711452</v>
      </c>
      <c r="D34" s="108">
        <v>738.082248</v>
      </c>
      <c r="E34" s="92">
        <f t="shared" si="0"/>
        <v>1.5837589406040626</v>
      </c>
      <c r="F34" s="118">
        <v>52.868217</v>
      </c>
      <c r="G34" s="92">
        <f t="shared" si="1"/>
        <v>83.7305113475457</v>
      </c>
      <c r="H34" s="92">
        <v>132</v>
      </c>
      <c r="I34" s="92">
        <f t="shared" si="2"/>
        <v>110.52427497876033</v>
      </c>
      <c r="J34" s="92">
        <f t="shared" si="3"/>
        <v>194.25478632630603</v>
      </c>
    </row>
    <row r="35" spans="1:10" ht="10.5">
      <c r="A35" s="90">
        <f t="shared" si="5"/>
        <v>17</v>
      </c>
      <c r="B35" s="91">
        <f>B34+31</f>
        <v>33051</v>
      </c>
      <c r="C35" s="92">
        <f>Plan9!I29</f>
        <v>1168.9443591711452</v>
      </c>
      <c r="D35" s="108">
        <v>796.16932</v>
      </c>
      <c r="E35" s="92">
        <f t="shared" si="0"/>
        <v>1.468210755937123</v>
      </c>
      <c r="F35" s="118">
        <v>52.868217</v>
      </c>
      <c r="G35" s="92">
        <f t="shared" si="1"/>
        <v>77.62168484661785</v>
      </c>
      <c r="H35" s="92">
        <v>132</v>
      </c>
      <c r="I35" s="92">
        <f t="shared" si="2"/>
        <v>102.46062399753556</v>
      </c>
      <c r="J35" s="92">
        <f t="shared" si="3"/>
        <v>180.08230884415343</v>
      </c>
    </row>
    <row r="36" spans="1:10" ht="10.5">
      <c r="A36" s="90">
        <f t="shared" si="5"/>
        <v>18</v>
      </c>
      <c r="B36" s="91">
        <f>B35+30</f>
        <v>33081</v>
      </c>
      <c r="C36" s="92">
        <f>Plan9!I30</f>
        <v>1168.9443591711452</v>
      </c>
      <c r="D36" s="108">
        <v>872.20349</v>
      </c>
      <c r="E36" s="92">
        <f t="shared" si="0"/>
        <v>1.3402197681772003</v>
      </c>
      <c r="F36" s="118">
        <v>52.868217</v>
      </c>
      <c r="G36" s="92">
        <f t="shared" si="1"/>
        <v>70.85502953168192</v>
      </c>
      <c r="H36" s="92">
        <v>132</v>
      </c>
      <c r="I36" s="92">
        <f t="shared" si="2"/>
        <v>93.52863898182014</v>
      </c>
      <c r="J36" s="92">
        <f t="shared" si="3"/>
        <v>164.38366851350207</v>
      </c>
    </row>
    <row r="37" spans="1:10" ht="10.5">
      <c r="A37" s="90">
        <f t="shared" si="5"/>
        <v>19</v>
      </c>
      <c r="B37" s="91">
        <f>B36+31</f>
        <v>33112</v>
      </c>
      <c r="C37" s="92">
        <f>Plan9!I31</f>
        <v>1231.8321250707868</v>
      </c>
      <c r="D37" s="108">
        <v>984.89218</v>
      </c>
      <c r="E37" s="92">
        <f t="shared" si="0"/>
        <v>1.2507278970077584</v>
      </c>
      <c r="F37" s="118">
        <v>52.868217</v>
      </c>
      <c r="G37" s="92">
        <f t="shared" si="1"/>
        <v>66.12375386695983</v>
      </c>
      <c r="H37" s="92">
        <v>132</v>
      </c>
      <c r="I37" s="92">
        <f t="shared" si="2"/>
        <v>87.28335510438697</v>
      </c>
      <c r="J37" s="92">
        <f t="shared" si="3"/>
        <v>153.40710897134682</v>
      </c>
    </row>
    <row r="38" spans="1:10" ht="10.5">
      <c r="A38" s="90">
        <f t="shared" si="5"/>
        <v>20</v>
      </c>
      <c r="B38" s="91">
        <f>B37+31</f>
        <v>33143</v>
      </c>
      <c r="C38" s="92">
        <f>Plan9!I32</f>
        <v>1350.1994847975639</v>
      </c>
      <c r="D38" s="108">
        <v>1103.374709</v>
      </c>
      <c r="E38" s="92">
        <f t="shared" si="0"/>
        <v>1.2236998671296933</v>
      </c>
      <c r="F38" s="118">
        <v>52.868217</v>
      </c>
      <c r="G38" s="92">
        <f t="shared" si="1"/>
        <v>64.69483011828379</v>
      </c>
      <c r="H38" s="92">
        <v>132</v>
      </c>
      <c r="I38" s="92">
        <f t="shared" si="2"/>
        <v>85.3971757561346</v>
      </c>
      <c r="J38" s="92">
        <f t="shared" si="3"/>
        <v>150.0920058744184</v>
      </c>
    </row>
    <row r="39" spans="1:10" ht="10.5">
      <c r="A39" s="90">
        <f t="shared" si="5"/>
        <v>21</v>
      </c>
      <c r="B39" s="91">
        <f>B38+30</f>
        <v>33173</v>
      </c>
      <c r="C39" s="92">
        <f>Plan9!I33</f>
        <v>1495.869643752525</v>
      </c>
      <c r="D39" s="108">
        <v>1244.165321</v>
      </c>
      <c r="E39" s="92">
        <f t="shared" si="0"/>
        <v>1.202307778961575</v>
      </c>
      <c r="F39" s="118">
        <v>52.868217</v>
      </c>
      <c r="G39" s="92">
        <f t="shared" si="1"/>
        <v>63.56386855892858</v>
      </c>
      <c r="H39" s="92">
        <v>132</v>
      </c>
      <c r="I39" s="92">
        <f t="shared" si="2"/>
        <v>83.90430649778573</v>
      </c>
      <c r="J39" s="92">
        <f t="shared" si="3"/>
        <v>147.4681750567143</v>
      </c>
    </row>
    <row r="40" spans="1:10" ht="10.5">
      <c r="A40" s="90">
        <f t="shared" si="5"/>
        <v>22</v>
      </c>
      <c r="B40" s="91">
        <f>B39+31</f>
        <v>33204</v>
      </c>
      <c r="C40" s="92">
        <f>Plan9!I34</f>
        <v>1654.1251460788772</v>
      </c>
      <c r="D40" s="108">
        <v>1420.836796</v>
      </c>
      <c r="E40" s="92">
        <f t="shared" si="0"/>
        <v>1.1641908139876729</v>
      </c>
      <c r="F40" s="118">
        <v>52.868217</v>
      </c>
      <c r="G40" s="92">
        <f t="shared" si="1"/>
        <v>61.548692583306924</v>
      </c>
      <c r="H40" s="92">
        <v>132</v>
      </c>
      <c r="I40" s="92">
        <f t="shared" si="2"/>
        <v>81.24427420996514</v>
      </c>
      <c r="J40" s="92">
        <f t="shared" si="3"/>
        <v>142.79296679327206</v>
      </c>
    </row>
    <row r="41" spans="1:10" ht="10.5">
      <c r="A41" s="90">
        <f t="shared" si="5"/>
        <v>23</v>
      </c>
      <c r="B41" s="91">
        <f>B40+30</f>
        <v>33234</v>
      </c>
      <c r="C41" s="92">
        <f>Plan9!I35</f>
        <v>1866.6732408394219</v>
      </c>
      <c r="D41" s="108">
        <v>1642.203168</v>
      </c>
      <c r="E41" s="92">
        <f t="shared" si="0"/>
        <v>1.1366883691454563</v>
      </c>
      <c r="F41" s="118">
        <v>52.868217</v>
      </c>
      <c r="G41" s="92">
        <f t="shared" si="1"/>
        <v>60.09468736135809</v>
      </c>
      <c r="H41" s="92">
        <v>132</v>
      </c>
      <c r="I41" s="92">
        <f t="shared" si="2"/>
        <v>79.32498731699269</v>
      </c>
      <c r="J41" s="92">
        <f t="shared" si="3"/>
        <v>139.4196746783508</v>
      </c>
    </row>
    <row r="42" spans="1:10" ht="10.5">
      <c r="A42" s="90">
        <f t="shared" si="5"/>
        <v>24</v>
      </c>
      <c r="B42" s="91">
        <f>B41+31</f>
        <v>33265</v>
      </c>
      <c r="C42" s="92">
        <f>Plan9!I36</f>
        <v>3088.762208688124</v>
      </c>
      <c r="D42" s="108">
        <v>1942.726347</v>
      </c>
      <c r="E42" s="92">
        <f t="shared" si="0"/>
        <v>1.5899111130385692</v>
      </c>
      <c r="F42" s="118">
        <v>52.868217</v>
      </c>
      <c r="G42" s="92">
        <f t="shared" si="1"/>
        <v>84.05576573483461</v>
      </c>
      <c r="H42" s="92">
        <v>132</v>
      </c>
      <c r="I42" s="92">
        <f t="shared" si="2"/>
        <v>110.95361076998168</v>
      </c>
      <c r="J42" s="92">
        <f t="shared" si="3"/>
        <v>195.0093765048163</v>
      </c>
    </row>
    <row r="43" spans="1:10" ht="10.5">
      <c r="A43" s="90">
        <f>A42+1</f>
        <v>25</v>
      </c>
      <c r="B43" s="91">
        <f>B42+31</f>
        <v>33296</v>
      </c>
      <c r="C43" s="92">
        <f>Plan9!I37</f>
        <v>3602.727327134311</v>
      </c>
      <c r="D43" s="108">
        <v>2329.523162</v>
      </c>
      <c r="E43" s="92">
        <f t="shared" si="0"/>
        <v>1.5465514084183685</v>
      </c>
      <c r="F43" s="118">
        <v>52.868217</v>
      </c>
      <c r="G43" s="92">
        <f t="shared" si="1"/>
        <v>81.76341546191793</v>
      </c>
      <c r="H43" s="92">
        <v>132</v>
      </c>
      <c r="I43" s="92">
        <f t="shared" si="2"/>
        <v>107.92770840973168</v>
      </c>
      <c r="J43" s="92">
        <f t="shared" si="3"/>
        <v>189.6911238716496</v>
      </c>
    </row>
    <row r="44" spans="1:10" ht="10.5">
      <c r="A44" s="90">
        <f aca="true" t="shared" si="6" ref="A44:A54">A43+1</f>
        <v>26</v>
      </c>
      <c r="B44" s="91">
        <f>B43+28</f>
        <v>33324</v>
      </c>
      <c r="C44" s="92">
        <f>Plan9!I38</f>
        <v>4301.282359566394</v>
      </c>
      <c r="D44" s="108">
        <v>2838.989877</v>
      </c>
      <c r="E44" s="92">
        <f t="shared" si="0"/>
        <v>1.5150749195737248</v>
      </c>
      <c r="F44" s="118">
        <v>52.868217</v>
      </c>
      <c r="G44" s="92">
        <f t="shared" si="1"/>
        <v>80.09930961928123</v>
      </c>
      <c r="H44" s="92">
        <v>132</v>
      </c>
      <c r="I44" s="92">
        <f t="shared" si="2"/>
        <v>105.73108869745121</v>
      </c>
      <c r="J44" s="92">
        <f t="shared" si="3"/>
        <v>185.83039831673244</v>
      </c>
    </row>
    <row r="45" spans="1:10" ht="10.5">
      <c r="A45" s="90">
        <f t="shared" si="6"/>
        <v>27</v>
      </c>
      <c r="B45" s="91">
        <f>B44+31</f>
        <v>33355</v>
      </c>
      <c r="C45" s="92">
        <f>Plan9!I39</f>
        <v>4828.331252720727</v>
      </c>
      <c r="D45" s="108">
        <v>3173.706783</v>
      </c>
      <c r="E45" s="92">
        <f t="shared" si="0"/>
        <v>1.521353919203798</v>
      </c>
      <c r="F45" s="118">
        <v>52.868217</v>
      </c>
      <c r="G45" s="92">
        <f t="shared" si="1"/>
        <v>80.43126913426686</v>
      </c>
      <c r="H45" s="92">
        <v>132</v>
      </c>
      <c r="I45" s="92">
        <f t="shared" si="2"/>
        <v>106.16927525723226</v>
      </c>
      <c r="J45" s="92">
        <f t="shared" si="3"/>
        <v>186.6005443914991</v>
      </c>
    </row>
    <row r="46" spans="1:10" ht="10.5">
      <c r="A46" s="90">
        <f t="shared" si="6"/>
        <v>28</v>
      </c>
      <c r="B46" s="91">
        <f>B45+30</f>
        <v>33385</v>
      </c>
      <c r="C46" s="92">
        <f>Plan9!I40</f>
        <v>4828.331252720727</v>
      </c>
      <c r="D46" s="108">
        <v>3332.709492</v>
      </c>
      <c r="E46" s="92">
        <f t="shared" si="0"/>
        <v>1.448770516695467</v>
      </c>
      <c r="F46" s="118">
        <v>52.868217</v>
      </c>
      <c r="G46" s="92">
        <f t="shared" si="1"/>
        <v>76.59391405985808</v>
      </c>
      <c r="H46" s="92">
        <v>132</v>
      </c>
      <c r="I46" s="92">
        <f t="shared" si="2"/>
        <v>101.10396655901266</v>
      </c>
      <c r="J46" s="92">
        <f t="shared" si="3"/>
        <v>177.69788061887073</v>
      </c>
    </row>
    <row r="47" spans="1:10" ht="10.5">
      <c r="A47" s="90">
        <f t="shared" si="6"/>
        <v>29</v>
      </c>
      <c r="B47" s="91">
        <f>B46+31</f>
        <v>33416</v>
      </c>
      <c r="C47" s="92">
        <f>Plan9!I41</f>
        <v>16961.27278363155</v>
      </c>
      <c r="D47" s="108">
        <v>3555.334486</v>
      </c>
      <c r="E47" s="92">
        <f t="shared" si="0"/>
        <v>4.770654589721646</v>
      </c>
      <c r="F47" s="118">
        <v>52.868217</v>
      </c>
      <c r="G47" s="92">
        <f t="shared" si="1"/>
        <v>252.21600208144997</v>
      </c>
      <c r="H47" s="92">
        <v>132</v>
      </c>
      <c r="I47" s="92">
        <f t="shared" si="2"/>
        <v>332.92512274751397</v>
      </c>
      <c r="J47" s="92">
        <f t="shared" si="3"/>
        <v>585.1411248289639</v>
      </c>
    </row>
    <row r="48" spans="1:10" ht="10.5">
      <c r="A48" s="90">
        <f t="shared" si="6"/>
        <v>30</v>
      </c>
      <c r="B48" s="91">
        <f>B47+30</f>
        <v>33446</v>
      </c>
      <c r="C48" s="92">
        <f>Plan9!I42</f>
        <v>19410.902007328048</v>
      </c>
      <c r="D48" s="108">
        <v>3940.37721</v>
      </c>
      <c r="E48" s="92">
        <f t="shared" si="0"/>
        <v>4.926153252045646</v>
      </c>
      <c r="F48" s="118">
        <v>52.868217</v>
      </c>
      <c r="G48" s="92">
        <f t="shared" si="1"/>
        <v>260.4369391044049</v>
      </c>
      <c r="H48" s="92">
        <v>132</v>
      </c>
      <c r="I48" s="92">
        <f t="shared" si="2"/>
        <v>343.77675961781455</v>
      </c>
      <c r="J48" s="92">
        <f t="shared" si="3"/>
        <v>604.2136987222195</v>
      </c>
    </row>
    <row r="49" spans="1:10" ht="10.5">
      <c r="A49" s="90">
        <f t="shared" si="6"/>
        <v>31</v>
      </c>
      <c r="B49" s="91">
        <f>B48+31</f>
        <v>33477</v>
      </c>
      <c r="C49" s="92">
        <f>Plan9!I43</f>
        <v>22143.598993247906</v>
      </c>
      <c r="D49" s="108">
        <v>4418.739003</v>
      </c>
      <c r="E49" s="92">
        <f t="shared" si="0"/>
        <v>5.011293714839013</v>
      </c>
      <c r="F49" s="118">
        <v>52.868217</v>
      </c>
      <c r="G49" s="92">
        <f t="shared" si="1"/>
        <v>264.93816356684505</v>
      </c>
      <c r="H49" s="92">
        <v>132</v>
      </c>
      <c r="I49" s="92">
        <f t="shared" si="2"/>
        <v>349.7183759082355</v>
      </c>
      <c r="J49" s="92">
        <f t="shared" si="3"/>
        <v>614.6565394750805</v>
      </c>
    </row>
    <row r="50" spans="1:10" ht="10.5">
      <c r="A50" s="90">
        <f t="shared" si="6"/>
        <v>32</v>
      </c>
      <c r="B50" s="91">
        <f>B49+31</f>
        <v>33508</v>
      </c>
      <c r="C50" s="92">
        <f>Plan9!I44</f>
        <v>25467.86171391713</v>
      </c>
      <c r="D50" s="108">
        <v>5108.946035</v>
      </c>
      <c r="E50" s="92">
        <f t="shared" si="0"/>
        <v>4.9849541450318196</v>
      </c>
      <c r="F50" s="118">
        <v>52.868217</v>
      </c>
      <c r="G50" s="92">
        <f t="shared" si="1"/>
        <v>263.54563747459173</v>
      </c>
      <c r="H50" s="92">
        <v>132</v>
      </c>
      <c r="I50" s="92">
        <f t="shared" si="2"/>
        <v>347.8802414664611</v>
      </c>
      <c r="J50" s="92">
        <f t="shared" si="3"/>
        <v>611.4258789410528</v>
      </c>
    </row>
    <row r="51" spans="1:10" ht="10.5">
      <c r="A51" s="90">
        <f t="shared" si="6"/>
        <v>33</v>
      </c>
      <c r="B51" s="91">
        <f>B50+30</f>
        <v>33538</v>
      </c>
      <c r="C51" s="92">
        <f>Plan9!I45</f>
        <v>4828.331252720727</v>
      </c>
      <c r="D51" s="108">
        <v>5906.963405</v>
      </c>
      <c r="E51" s="92">
        <f t="shared" si="0"/>
        <v>0.8173965067455377</v>
      </c>
      <c r="F51" s="118">
        <v>52.868217</v>
      </c>
      <c r="G51" s="92">
        <f t="shared" si="1"/>
        <v>43.21429589366505</v>
      </c>
      <c r="H51" s="92">
        <v>132</v>
      </c>
      <c r="I51" s="92">
        <f t="shared" si="2"/>
        <v>57.04287057963788</v>
      </c>
      <c r="J51" s="92">
        <f t="shared" si="3"/>
        <v>100.25716647330293</v>
      </c>
    </row>
    <row r="52" spans="1:10" ht="10.5">
      <c r="A52" s="90">
        <f t="shared" si="6"/>
        <v>34</v>
      </c>
      <c r="B52" s="91">
        <f>B51+31</f>
        <v>33569</v>
      </c>
      <c r="C52" s="92">
        <f>Plan9!I46</f>
        <v>5600.85783145477</v>
      </c>
      <c r="D52" s="108">
        <v>7152.15129</v>
      </c>
      <c r="E52" s="92">
        <f t="shared" si="0"/>
        <v>0.783101140391952</v>
      </c>
      <c r="F52" s="118">
        <v>52.868217</v>
      </c>
      <c r="G52" s="92">
        <f t="shared" si="1"/>
        <v>41.40116102318918</v>
      </c>
      <c r="H52" s="92">
        <v>132</v>
      </c>
      <c r="I52" s="92">
        <f t="shared" si="2"/>
        <v>54.64953255060972</v>
      </c>
      <c r="J52" s="92">
        <f t="shared" si="3"/>
        <v>96.0506935737989</v>
      </c>
    </row>
    <row r="53" spans="1:10" ht="10.5">
      <c r="A53" s="90">
        <f t="shared" si="6"/>
        <v>35</v>
      </c>
      <c r="B53" s="91">
        <f>B52+30</f>
        <v>33599</v>
      </c>
      <c r="C53" s="92">
        <f>Plan9!I47</f>
        <v>6777.028580458595</v>
      </c>
      <c r="D53" s="108">
        <v>9046.040951</v>
      </c>
      <c r="E53" s="92">
        <f t="shared" si="0"/>
        <v>0.7491706722496567</v>
      </c>
      <c r="F53" s="118">
        <v>52.868217</v>
      </c>
      <c r="G53" s="92">
        <f t="shared" si="1"/>
        <v>39.60731767053073</v>
      </c>
      <c r="H53" s="92">
        <v>132</v>
      </c>
      <c r="I53" s="92">
        <f t="shared" si="2"/>
        <v>52.28165932510057</v>
      </c>
      <c r="J53" s="92">
        <f t="shared" si="3"/>
        <v>91.88897699563131</v>
      </c>
    </row>
    <row r="54" spans="1:10" ht="10.5">
      <c r="A54" s="90">
        <f t="shared" si="6"/>
        <v>36</v>
      </c>
      <c r="B54" s="91">
        <f>B53+31</f>
        <v>33630</v>
      </c>
      <c r="C54" s="92">
        <f>Plan9!I48</f>
        <v>15278.859555523813</v>
      </c>
      <c r="D54" s="108">
        <v>11230.65984</v>
      </c>
      <c r="E54" s="92">
        <f t="shared" si="0"/>
        <v>1.3604596500292376</v>
      </c>
      <c r="F54" s="118">
        <v>52.868217</v>
      </c>
      <c r="G54" s="92">
        <f t="shared" si="1"/>
        <v>71.9250759974898</v>
      </c>
      <c r="H54" s="92">
        <v>132</v>
      </c>
      <c r="I54" s="92">
        <f t="shared" si="2"/>
        <v>94.94110031668653</v>
      </c>
      <c r="J54" s="92">
        <f t="shared" si="3"/>
        <v>166.86617631417633</v>
      </c>
    </row>
    <row r="55" spans="1:10" ht="10.5">
      <c r="A55" s="90">
        <f>A54+1</f>
        <v>37</v>
      </c>
      <c r="B55" s="91">
        <f>B54+31</f>
        <v>33661</v>
      </c>
      <c r="C55" s="92">
        <f>Plan9!I49</f>
        <v>15278.859555523813</v>
      </c>
      <c r="D55" s="108">
        <v>14141.64687</v>
      </c>
      <c r="E55" s="92">
        <f t="shared" si="0"/>
        <v>1.0804158593392887</v>
      </c>
      <c r="F55" s="118">
        <v>52.868217</v>
      </c>
      <c r="G55" s="92">
        <f t="shared" si="1"/>
        <v>57.119660101791</v>
      </c>
      <c r="H55" s="92">
        <v>132</v>
      </c>
      <c r="I55" s="92">
        <f t="shared" si="2"/>
        <v>75.39795133436411</v>
      </c>
      <c r="J55" s="92">
        <f t="shared" si="3"/>
        <v>132.5176114361551</v>
      </c>
    </row>
    <row r="56" spans="1:10" ht="10.5">
      <c r="A56" s="90">
        <f>A55+1</f>
        <v>38</v>
      </c>
      <c r="B56" s="91">
        <f>B55+31</f>
        <v>33692</v>
      </c>
      <c r="C56" s="92">
        <f>Plan9!I50</f>
        <v>19633.328451281734</v>
      </c>
      <c r="D56" s="108">
        <v>17603.522023</v>
      </c>
      <c r="E56" s="92">
        <f t="shared" si="0"/>
        <v>1.1153068360768756</v>
      </c>
      <c r="F56" s="118">
        <v>52.868217</v>
      </c>
      <c r="G56" s="92">
        <f t="shared" si="1"/>
        <v>58.96428383129569</v>
      </c>
      <c r="H56" s="92">
        <v>132</v>
      </c>
      <c r="I56" s="92">
        <f t="shared" si="2"/>
        <v>77.8328546573103</v>
      </c>
      <c r="J56" s="92">
        <f t="shared" si="3"/>
        <v>136.79713848860598</v>
      </c>
    </row>
    <row r="57" spans="1:10" ht="10.5">
      <c r="A57" s="90">
        <f>A56+1</f>
        <v>39</v>
      </c>
      <c r="B57" s="91">
        <f>B56+29</f>
        <v>33721</v>
      </c>
      <c r="C57" s="92">
        <f>Plan9!I51</f>
        <v>19633.328451281734</v>
      </c>
      <c r="D57" s="108">
        <v>21409.403484</v>
      </c>
      <c r="E57" s="92">
        <f t="shared" si="0"/>
        <v>0.9170422924652903</v>
      </c>
      <c r="F57" s="118">
        <v>52.868217</v>
      </c>
      <c r="G57" s="92">
        <f t="shared" si="1"/>
        <v>48.48239091623243</v>
      </c>
      <c r="H57" s="92">
        <v>132</v>
      </c>
      <c r="I57" s="92">
        <f t="shared" si="2"/>
        <v>63.99675600942681</v>
      </c>
      <c r="J57" s="92">
        <f t="shared" si="3"/>
        <v>112.47914692565925</v>
      </c>
    </row>
    <row r="58" spans="1:10" ht="10.5">
      <c r="A58" s="95"/>
      <c r="B58" s="96"/>
      <c r="C58" s="97"/>
      <c r="D58" s="97"/>
      <c r="E58" s="97">
        <f>SUM(E18:E57)</f>
        <v>60.753727560743435</v>
      </c>
      <c r="F58" s="97"/>
      <c r="G58" s="97">
        <f>SUM(G18:G57)</f>
        <v>3211.941252240266</v>
      </c>
      <c r="H58" s="97"/>
      <c r="I58" s="97">
        <f>SUM(I18:I57)</f>
        <v>4239.762452957149</v>
      </c>
      <c r="J58" s="97">
        <f>SUM(J18:J57)</f>
        <v>7451.703705197415</v>
      </c>
    </row>
    <row r="59" spans="1:10" ht="10.5">
      <c r="A59" s="63" t="s">
        <v>0</v>
      </c>
      <c r="J59" s="65" t="s">
        <v>150</v>
      </c>
    </row>
    <row r="60" spans="1:10" ht="10.5">
      <c r="A60" s="63" t="s">
        <v>40</v>
      </c>
      <c r="J60" s="65" t="s">
        <v>81</v>
      </c>
    </row>
    <row r="61" ht="10.5">
      <c r="A61" s="63"/>
    </row>
    <row r="62" spans="1:7" ht="10.5">
      <c r="A62" s="60" t="s">
        <v>208</v>
      </c>
      <c r="B62" s="60" t="s">
        <v>188</v>
      </c>
      <c r="D62" s="60"/>
      <c r="E62" s="60"/>
      <c r="F62" s="60"/>
      <c r="G62" s="60"/>
    </row>
    <row r="63" spans="1:7" ht="10.5">
      <c r="A63" s="60" t="s">
        <v>4</v>
      </c>
      <c r="B63" s="60" t="s">
        <v>188</v>
      </c>
      <c r="D63" s="60"/>
      <c r="E63" s="60"/>
      <c r="F63" s="60"/>
      <c r="G63" s="60"/>
    </row>
    <row r="64" ht="10.5">
      <c r="A64" s="60"/>
    </row>
    <row r="65" spans="1:5" ht="10.5">
      <c r="A65" s="60" t="s">
        <v>178</v>
      </c>
      <c r="B65" s="60"/>
      <c r="C65" s="60"/>
      <c r="D65" s="60"/>
      <c r="E65" s="60"/>
    </row>
    <row r="66" ht="10.5">
      <c r="C66" s="60" t="s">
        <v>89</v>
      </c>
    </row>
    <row r="67" ht="11.25" thickBot="1"/>
    <row r="68" spans="1:10" ht="11.25" thickTop="1">
      <c r="A68" s="82" t="s">
        <v>66</v>
      </c>
      <c r="B68" s="82" t="s">
        <v>5</v>
      </c>
      <c r="C68" s="82" t="s">
        <v>139</v>
      </c>
      <c r="D68" s="82" t="s">
        <v>151</v>
      </c>
      <c r="E68" s="82" t="s">
        <v>59</v>
      </c>
      <c r="F68" s="82" t="s">
        <v>151</v>
      </c>
      <c r="G68" s="82" t="s">
        <v>59</v>
      </c>
      <c r="H68" s="82" t="s">
        <v>158</v>
      </c>
      <c r="I68" s="82" t="s">
        <v>59</v>
      </c>
      <c r="J68" s="82" t="s">
        <v>59</v>
      </c>
    </row>
    <row r="69" spans="1:10" ht="10.5">
      <c r="A69" s="84" t="s">
        <v>64</v>
      </c>
      <c r="B69" s="84"/>
      <c r="C69" s="84" t="s">
        <v>143</v>
      </c>
      <c r="D69" s="84" t="s">
        <v>152</v>
      </c>
      <c r="E69" s="84" t="s">
        <v>34</v>
      </c>
      <c r="F69" s="84" t="s">
        <v>152</v>
      </c>
      <c r="G69" s="84" t="s">
        <v>152</v>
      </c>
      <c r="H69" s="84" t="s">
        <v>87</v>
      </c>
      <c r="I69" s="84" t="s">
        <v>87</v>
      </c>
      <c r="J69" s="84" t="s">
        <v>162</v>
      </c>
    </row>
    <row r="70" spans="1:10" ht="10.5">
      <c r="A70" s="84" t="s">
        <v>90</v>
      </c>
      <c r="B70" s="84"/>
      <c r="C70" s="84" t="s">
        <v>144</v>
      </c>
      <c r="D70" s="84" t="s">
        <v>153</v>
      </c>
      <c r="E70" s="84"/>
      <c r="F70" s="84" t="s">
        <v>153</v>
      </c>
      <c r="G70" s="84" t="s">
        <v>153</v>
      </c>
      <c r="H70" s="84" t="s">
        <v>64</v>
      </c>
      <c r="I70" s="84" t="s">
        <v>64</v>
      </c>
      <c r="J70" s="84" t="s">
        <v>152</v>
      </c>
    </row>
    <row r="71" spans="1:10" ht="10.5">
      <c r="A71" s="84"/>
      <c r="B71" s="84"/>
      <c r="C71" s="84" t="s">
        <v>140</v>
      </c>
      <c r="D71" s="84" t="s">
        <v>154</v>
      </c>
      <c r="E71" s="84"/>
      <c r="F71" s="84" t="s">
        <v>154</v>
      </c>
      <c r="G71" s="84"/>
      <c r="H71" s="84" t="s">
        <v>159</v>
      </c>
      <c r="I71" s="84" t="s">
        <v>159</v>
      </c>
      <c r="J71" s="84" t="s">
        <v>153</v>
      </c>
    </row>
    <row r="72" spans="1:10" ht="10.5">
      <c r="A72" s="84"/>
      <c r="B72" s="84"/>
      <c r="C72" s="84" t="s">
        <v>141</v>
      </c>
      <c r="D72" s="84" t="s">
        <v>155</v>
      </c>
      <c r="E72" s="84"/>
      <c r="F72" s="84" t="s">
        <v>157</v>
      </c>
      <c r="G72" s="84" t="s">
        <v>157</v>
      </c>
      <c r="H72" s="84" t="s">
        <v>160</v>
      </c>
      <c r="I72" s="84" t="s">
        <v>157</v>
      </c>
      <c r="J72" s="84" t="s">
        <v>163</v>
      </c>
    </row>
    <row r="73" spans="1:10" ht="10.5">
      <c r="A73" s="84"/>
      <c r="B73" s="84"/>
      <c r="C73" s="84" t="s">
        <v>145</v>
      </c>
      <c r="D73" s="84" t="s">
        <v>156</v>
      </c>
      <c r="E73" s="84"/>
      <c r="F73" s="116">
        <v>41698</v>
      </c>
      <c r="G73" s="116">
        <v>41698</v>
      </c>
      <c r="H73" s="84" t="s">
        <v>161</v>
      </c>
      <c r="I73" s="116">
        <v>41698</v>
      </c>
      <c r="J73" s="84" t="s">
        <v>159</v>
      </c>
    </row>
    <row r="74" spans="1:10" ht="10.5">
      <c r="A74" s="84"/>
      <c r="B74" s="84"/>
      <c r="C74" s="84" t="s">
        <v>142</v>
      </c>
      <c r="D74" s="84"/>
      <c r="E74" s="84"/>
      <c r="F74" s="84"/>
      <c r="G74" s="84"/>
      <c r="H74" s="116">
        <v>37663</v>
      </c>
      <c r="I74" s="84"/>
      <c r="J74" s="84" t="s">
        <v>157</v>
      </c>
    </row>
    <row r="75" spans="1:10" ht="11.25" thickBot="1">
      <c r="A75" s="86"/>
      <c r="B75" s="86"/>
      <c r="C75" s="86" t="s">
        <v>11</v>
      </c>
      <c r="D75" s="86"/>
      <c r="E75" s="86"/>
      <c r="F75" s="86"/>
      <c r="G75" s="86"/>
      <c r="H75" s="86" t="s">
        <v>164</v>
      </c>
      <c r="I75" s="86"/>
      <c r="J75" s="117"/>
    </row>
    <row r="76" ht="11.25" thickTop="1"/>
    <row r="77" spans="1:10" ht="10.5">
      <c r="A77" s="90">
        <f>A57+1</f>
        <v>40</v>
      </c>
      <c r="B77" s="91">
        <f>B57+31</f>
        <v>33752</v>
      </c>
      <c r="C77" s="92">
        <f>Plan9!I64</f>
        <v>37605.682134374074</v>
      </c>
      <c r="D77" s="92">
        <v>25871.12317</v>
      </c>
      <c r="E77" s="92">
        <f aca="true" t="shared" si="7" ref="E77:E113">C77/D77</f>
        <v>1.4535774843351756</v>
      </c>
      <c r="F77" s="118">
        <v>52.868217</v>
      </c>
      <c r="G77" s="92">
        <f aca="true" t="shared" si="8" ref="G77:G113">E77*F77</f>
        <v>76.84804986814616</v>
      </c>
      <c r="H77" s="92">
        <v>132</v>
      </c>
      <c r="I77" s="92">
        <f aca="true" t="shared" si="9" ref="I77:I113">G77*H77/100</f>
        <v>101.43942582595292</v>
      </c>
      <c r="J77" s="92">
        <f aca="true" t="shared" si="10" ref="J77:J113">G77+I77</f>
        <v>178.2874756940991</v>
      </c>
    </row>
    <row r="78" spans="1:10" ht="10.5">
      <c r="A78" s="90">
        <f aca="true" t="shared" si="11" ref="A78:A85">A77+1</f>
        <v>41</v>
      </c>
      <c r="B78" s="91">
        <f>B77+30</f>
        <v>33782</v>
      </c>
      <c r="C78" s="92">
        <f>Plan9!I65</f>
        <v>37605.682134374074</v>
      </c>
      <c r="D78" s="92">
        <v>32209.548346</v>
      </c>
      <c r="E78" s="92">
        <f t="shared" si="7"/>
        <v>1.1675321159554293</v>
      </c>
      <c r="F78" s="118">
        <v>52.868217</v>
      </c>
      <c r="G78" s="92">
        <f t="shared" si="8"/>
        <v>61.725341260800796</v>
      </c>
      <c r="H78" s="92">
        <v>132</v>
      </c>
      <c r="I78" s="92">
        <f t="shared" si="9"/>
        <v>81.47745046425706</v>
      </c>
      <c r="J78" s="92">
        <f t="shared" si="10"/>
        <v>143.20279172505786</v>
      </c>
    </row>
    <row r="79" spans="1:10" ht="10.5">
      <c r="A79" s="90">
        <f t="shared" si="11"/>
        <v>42</v>
      </c>
      <c r="B79" s="91">
        <f>B78+31</f>
        <v>33813</v>
      </c>
      <c r="C79" s="92">
        <f>Plan9!I66</f>
        <v>47007.09766796755</v>
      </c>
      <c r="D79" s="92">
        <v>38925.239176</v>
      </c>
      <c r="E79" s="92">
        <f t="shared" si="7"/>
        <v>1.2076251466413739</v>
      </c>
      <c r="F79" s="118">
        <v>52.868217</v>
      </c>
      <c r="G79" s="92">
        <f t="shared" si="8"/>
        <v>63.84498830729298</v>
      </c>
      <c r="H79" s="92">
        <v>132</v>
      </c>
      <c r="I79" s="92">
        <f t="shared" si="9"/>
        <v>84.27538456562674</v>
      </c>
      <c r="J79" s="92">
        <f t="shared" si="10"/>
        <v>148.12037287291972</v>
      </c>
    </row>
    <row r="80" spans="1:10" ht="10.5">
      <c r="A80" s="90">
        <f t="shared" si="11"/>
        <v>43</v>
      </c>
      <c r="B80" s="91">
        <f>B79+30</f>
        <v>33843</v>
      </c>
      <c r="C80" s="92">
        <f>Plan9!I67</f>
        <v>47007.09766796755</v>
      </c>
      <c r="D80" s="92">
        <v>47519.931986</v>
      </c>
      <c r="E80" s="92">
        <f t="shared" si="7"/>
        <v>0.9892080165816832</v>
      </c>
      <c r="F80" s="118">
        <v>52.868217</v>
      </c>
      <c r="G80" s="92">
        <f t="shared" si="8"/>
        <v>52.29766407878003</v>
      </c>
      <c r="H80" s="92">
        <v>132</v>
      </c>
      <c r="I80" s="92">
        <f t="shared" si="9"/>
        <v>69.03291658398965</v>
      </c>
      <c r="J80" s="92">
        <f t="shared" si="10"/>
        <v>121.33058066276968</v>
      </c>
    </row>
    <row r="81" spans="1:10" ht="10.5">
      <c r="A81" s="90">
        <f t="shared" si="11"/>
        <v>44</v>
      </c>
      <c r="B81" s="91">
        <f>B80+31</f>
        <v>33874</v>
      </c>
      <c r="C81" s="92">
        <f>Plan9!I68</f>
        <v>82922.05946247512</v>
      </c>
      <c r="D81" s="92">
        <v>58154.892764</v>
      </c>
      <c r="E81" s="92">
        <f t="shared" si="7"/>
        <v>1.4258827679208947</v>
      </c>
      <c r="F81" s="118">
        <v>52.868217</v>
      </c>
      <c r="G81" s="92">
        <f t="shared" si="8"/>
        <v>75.3838795910025</v>
      </c>
      <c r="H81" s="92">
        <v>132</v>
      </c>
      <c r="I81" s="92">
        <f t="shared" si="9"/>
        <v>99.5067210601233</v>
      </c>
      <c r="J81" s="92">
        <f t="shared" si="10"/>
        <v>174.8906006511258</v>
      </c>
    </row>
    <row r="82" spans="1:10" ht="10.5">
      <c r="A82" s="90">
        <f t="shared" si="11"/>
        <v>45</v>
      </c>
      <c r="B82" s="91">
        <f>B81+31</f>
        <v>33905</v>
      </c>
      <c r="C82" s="92">
        <f>Plan9!I69</f>
        <v>82922.05946247512</v>
      </c>
      <c r="D82" s="92">
        <v>72100.436048</v>
      </c>
      <c r="E82" s="92">
        <f t="shared" si="7"/>
        <v>1.150090956554975</v>
      </c>
      <c r="F82" s="118">
        <v>52.868217</v>
      </c>
      <c r="G82" s="92">
        <f t="shared" si="8"/>
        <v>60.803258260886</v>
      </c>
      <c r="H82" s="92">
        <v>132</v>
      </c>
      <c r="I82" s="92">
        <f t="shared" si="9"/>
        <v>80.26030090436952</v>
      </c>
      <c r="J82" s="92">
        <f t="shared" si="10"/>
        <v>141.06355916525553</v>
      </c>
    </row>
    <row r="83" spans="1:10" ht="10.5">
      <c r="A83" s="90">
        <f t="shared" si="11"/>
        <v>46</v>
      </c>
      <c r="B83" s="91">
        <f>B82+30</f>
        <v>33935</v>
      </c>
      <c r="C83" s="92">
        <f>Plan9!I70</f>
        <v>101864.01037750777</v>
      </c>
      <c r="D83" s="92">
        <v>90897.019725</v>
      </c>
      <c r="E83" s="92">
        <f t="shared" si="7"/>
        <v>1.1206529178369908</v>
      </c>
      <c r="F83" s="118">
        <v>52.868217</v>
      </c>
      <c r="G83" s="92">
        <f t="shared" si="8"/>
        <v>59.2469216418892</v>
      </c>
      <c r="H83" s="92">
        <v>132</v>
      </c>
      <c r="I83" s="92">
        <f t="shared" si="9"/>
        <v>78.20593656729375</v>
      </c>
      <c r="J83" s="92">
        <f t="shared" si="10"/>
        <v>137.45285820918295</v>
      </c>
    </row>
    <row r="84" spans="1:10" ht="10.5">
      <c r="A84" s="90">
        <f t="shared" si="11"/>
        <v>47</v>
      </c>
      <c r="B84" s="91">
        <f>B83+31</f>
        <v>33966</v>
      </c>
      <c r="C84" s="92">
        <f>Plan9!I71</f>
        <v>101864.01037750777</v>
      </c>
      <c r="D84" s="92">
        <v>111703.34754</v>
      </c>
      <c r="E84" s="92">
        <f t="shared" si="7"/>
        <v>0.9119154673590346</v>
      </c>
      <c r="F84" s="118">
        <v>52.868217</v>
      </c>
      <c r="G84" s="92">
        <f t="shared" si="8"/>
        <v>48.21134481399386</v>
      </c>
      <c r="H84" s="92">
        <v>132</v>
      </c>
      <c r="I84" s="92">
        <f t="shared" si="9"/>
        <v>63.6389751544719</v>
      </c>
      <c r="J84" s="92">
        <f t="shared" si="10"/>
        <v>111.85031996846575</v>
      </c>
    </row>
    <row r="85" spans="1:10" ht="10.5">
      <c r="A85" s="90">
        <f t="shared" si="11"/>
        <v>48</v>
      </c>
      <c r="B85" s="91">
        <f>B84+30</f>
        <v>33996</v>
      </c>
      <c r="C85" s="92">
        <f>Plan9!I72</f>
        <v>201226.1235683181</v>
      </c>
      <c r="D85" s="92">
        <v>140277.06384</v>
      </c>
      <c r="E85" s="92">
        <f t="shared" si="7"/>
        <v>1.4344905578993055</v>
      </c>
      <c r="F85" s="118">
        <v>52.868217</v>
      </c>
      <c r="G85" s="92">
        <f t="shared" si="8"/>
        <v>75.83895809947154</v>
      </c>
      <c r="H85" s="92">
        <v>132</v>
      </c>
      <c r="I85" s="92">
        <f t="shared" si="9"/>
        <v>100.10742469130244</v>
      </c>
      <c r="J85" s="92">
        <f t="shared" si="10"/>
        <v>175.94638279077398</v>
      </c>
    </row>
    <row r="86" spans="1:10" ht="10.5">
      <c r="A86" s="90">
        <f>A85+1</f>
        <v>49</v>
      </c>
      <c r="B86" s="91">
        <f>B85+31</f>
        <v>34027</v>
      </c>
      <c r="C86" s="92">
        <f>Plan9!I73</f>
        <v>201226.1235683181</v>
      </c>
      <c r="D86" s="92">
        <v>180634.775106</v>
      </c>
      <c r="E86" s="92">
        <f t="shared" si="7"/>
        <v>1.1139943759457984</v>
      </c>
      <c r="F86" s="118">
        <v>52.868217</v>
      </c>
      <c r="G86" s="92">
        <f t="shared" si="8"/>
        <v>58.89489640428205</v>
      </c>
      <c r="H86" s="92">
        <v>132</v>
      </c>
      <c r="I86" s="92">
        <f t="shared" si="9"/>
        <v>77.7412632536523</v>
      </c>
      <c r="J86" s="92">
        <f t="shared" si="10"/>
        <v>136.63615965793434</v>
      </c>
    </row>
    <row r="87" spans="1:10" ht="10.5">
      <c r="A87" s="90">
        <f aca="true" t="shared" si="12" ref="A87:A97">A86+1</f>
        <v>50</v>
      </c>
      <c r="B87" s="91">
        <f>B86+28</f>
        <v>34055</v>
      </c>
      <c r="C87" s="92">
        <f>Plan9!I74</f>
        <v>266624.6049036081</v>
      </c>
      <c r="D87" s="92">
        <v>225583.354522</v>
      </c>
      <c r="E87" s="92">
        <f t="shared" si="7"/>
        <v>1.1819338597414355</v>
      </c>
      <c r="F87" s="118">
        <v>52.868217</v>
      </c>
      <c r="G87" s="92">
        <f t="shared" si="8"/>
        <v>62.48673577645778</v>
      </c>
      <c r="H87" s="92">
        <v>132</v>
      </c>
      <c r="I87" s="92">
        <f t="shared" si="9"/>
        <v>82.48249122492427</v>
      </c>
      <c r="J87" s="92">
        <f t="shared" si="10"/>
        <v>144.96922700138205</v>
      </c>
    </row>
    <row r="88" spans="1:10" ht="10.5">
      <c r="A88" s="90">
        <f t="shared" si="12"/>
        <v>51</v>
      </c>
      <c r="B88" s="91">
        <f>B87+31</f>
        <v>34086</v>
      </c>
      <c r="C88" s="92">
        <f>Plan9!I75</f>
        <v>266624.6049036081</v>
      </c>
      <c r="D88" s="92">
        <v>287583.354522</v>
      </c>
      <c r="E88" s="92">
        <f t="shared" si="7"/>
        <v>0.9271211310083367</v>
      </c>
      <c r="F88" s="118">
        <v>52.868217</v>
      </c>
      <c r="G88" s="92">
        <f t="shared" si="8"/>
        <v>49.015241139434174</v>
      </c>
      <c r="H88" s="92">
        <v>132</v>
      </c>
      <c r="I88" s="92">
        <f t="shared" si="9"/>
        <v>64.7001183040531</v>
      </c>
      <c r="J88" s="92">
        <f t="shared" si="10"/>
        <v>113.71535944348727</v>
      </c>
    </row>
    <row r="89" spans="1:10" ht="10.5">
      <c r="A89" s="90">
        <f t="shared" si="12"/>
        <v>52</v>
      </c>
      <c r="B89" s="91">
        <f>B88+30</f>
        <v>34116</v>
      </c>
      <c r="C89" s="92">
        <f>Plan9!I76</f>
        <v>500625.4119084785</v>
      </c>
      <c r="D89" s="92">
        <v>369170.752199</v>
      </c>
      <c r="E89" s="92">
        <f t="shared" si="7"/>
        <v>1.3560809162872642</v>
      </c>
      <c r="F89" s="118">
        <v>52.868217</v>
      </c>
      <c r="G89" s="92">
        <f t="shared" si="8"/>
        <v>71.69358015183393</v>
      </c>
      <c r="H89" s="92">
        <v>132</v>
      </c>
      <c r="I89" s="92">
        <f t="shared" si="9"/>
        <v>94.63552580042078</v>
      </c>
      <c r="J89" s="92">
        <f t="shared" si="10"/>
        <v>166.3291059522547</v>
      </c>
    </row>
    <row r="90" spans="1:10" ht="10.5">
      <c r="A90" s="90">
        <f t="shared" si="12"/>
        <v>53</v>
      </c>
      <c r="B90" s="91">
        <f>B89+31</f>
        <v>34147</v>
      </c>
      <c r="C90" s="92">
        <f>Plan9!I77</f>
        <v>500625.4119084785</v>
      </c>
      <c r="D90" s="92">
        <v>468034.679637</v>
      </c>
      <c r="E90" s="92">
        <f t="shared" si="7"/>
        <v>1.0696331568779376</v>
      </c>
      <c r="F90" s="118">
        <v>52.868217</v>
      </c>
      <c r="G90" s="92">
        <f t="shared" si="8"/>
        <v>56.54959784821785</v>
      </c>
      <c r="H90" s="92">
        <v>132</v>
      </c>
      <c r="I90" s="92">
        <f t="shared" si="9"/>
        <v>74.64546915964756</v>
      </c>
      <c r="J90" s="92">
        <f t="shared" si="10"/>
        <v>131.19506700786542</v>
      </c>
    </row>
    <row r="91" spans="1:10" ht="10.5">
      <c r="A91" s="90">
        <f t="shared" si="12"/>
        <v>54</v>
      </c>
      <c r="B91" s="91">
        <f>B90+30</f>
        <v>34177</v>
      </c>
      <c r="C91" s="92">
        <f>Plan9!I78</f>
        <v>689024.5043397108</v>
      </c>
      <c r="D91" s="92">
        <v>610176.811842</v>
      </c>
      <c r="E91" s="92">
        <f t="shared" si="7"/>
        <v>1.1292210568600365</v>
      </c>
      <c r="F91" s="118">
        <v>52.868217</v>
      </c>
      <c r="G91" s="92">
        <f t="shared" si="8"/>
        <v>59.69990387504575</v>
      </c>
      <c r="H91" s="92">
        <v>132</v>
      </c>
      <c r="I91" s="92">
        <f t="shared" si="9"/>
        <v>78.80387311506038</v>
      </c>
      <c r="J91" s="92">
        <f t="shared" si="10"/>
        <v>138.50377699010613</v>
      </c>
    </row>
    <row r="92" spans="1:10" ht="10.5">
      <c r="A92" s="90">
        <f t="shared" si="12"/>
        <v>55</v>
      </c>
      <c r="B92" s="91">
        <f>B91+31</f>
        <v>34208</v>
      </c>
      <c r="C92" s="92">
        <f>Plan9!I79</f>
        <v>6340.40295682434</v>
      </c>
      <c r="D92" s="108">
        <v>799.392641</v>
      </c>
      <c r="E92" s="92">
        <f t="shared" si="7"/>
        <v>7.931525300123873</v>
      </c>
      <c r="F92" s="118">
        <v>52.868217</v>
      </c>
      <c r="G92" s="92">
        <f t="shared" si="8"/>
        <v>419.32560070793903</v>
      </c>
      <c r="H92" s="92">
        <v>132</v>
      </c>
      <c r="I92" s="92">
        <f t="shared" si="9"/>
        <v>553.5097929344796</v>
      </c>
      <c r="J92" s="92">
        <f t="shared" si="10"/>
        <v>972.8353936424187</v>
      </c>
    </row>
    <row r="93" spans="1:10" ht="10.5">
      <c r="A93" s="90">
        <f t="shared" si="12"/>
        <v>56</v>
      </c>
      <c r="B93" s="91">
        <f>B92+31</f>
        <v>34239</v>
      </c>
      <c r="C93" s="92">
        <f>Plan9!I80</f>
        <v>1383.1213602682637</v>
      </c>
      <c r="D93" s="108">
        <v>1065.910147</v>
      </c>
      <c r="E93" s="92">
        <f t="shared" si="7"/>
        <v>1.2975965789996966</v>
      </c>
      <c r="F93" s="118">
        <v>52.868217</v>
      </c>
      <c r="G93" s="92">
        <f t="shared" si="8"/>
        <v>68.60161751701361</v>
      </c>
      <c r="H93" s="92">
        <v>132</v>
      </c>
      <c r="I93" s="92">
        <f t="shared" si="9"/>
        <v>90.55413512245795</v>
      </c>
      <c r="J93" s="92">
        <f t="shared" si="10"/>
        <v>159.15575263947156</v>
      </c>
    </row>
    <row r="94" spans="1:10" ht="10.5">
      <c r="A94" s="90">
        <f t="shared" si="12"/>
        <v>57</v>
      </c>
      <c r="B94" s="91">
        <f>B93+30</f>
        <v>34269</v>
      </c>
      <c r="C94" s="92">
        <f>Plan9!I81</f>
        <v>1649.4998808227774</v>
      </c>
      <c r="D94" s="108">
        <v>1445.693932</v>
      </c>
      <c r="E94" s="92">
        <f t="shared" si="7"/>
        <v>1.1409744789762164</v>
      </c>
      <c r="F94" s="118">
        <v>52.868217</v>
      </c>
      <c r="G94" s="92">
        <f t="shared" si="8"/>
        <v>60.321286345976546</v>
      </c>
      <c r="H94" s="92">
        <v>132</v>
      </c>
      <c r="I94" s="92">
        <f t="shared" si="9"/>
        <v>79.62409797668904</v>
      </c>
      <c r="J94" s="92">
        <f t="shared" si="10"/>
        <v>139.94538432266557</v>
      </c>
    </row>
    <row r="95" spans="1:10" ht="10.5">
      <c r="A95" s="90">
        <f>A94+1</f>
        <v>58</v>
      </c>
      <c r="B95" s="91">
        <f>B94+31</f>
        <v>34300</v>
      </c>
      <c r="C95" s="92">
        <f>Plan9!I82</f>
        <v>2016.0078586886157</v>
      </c>
      <c r="D95" s="108">
        <v>1938.964701</v>
      </c>
      <c r="E95" s="92">
        <f t="shared" si="7"/>
        <v>1.0397341723904934</v>
      </c>
      <c r="F95" s="118">
        <v>52.868217</v>
      </c>
      <c r="G95" s="92">
        <f t="shared" si="8"/>
        <v>54.968891848256014</v>
      </c>
      <c r="H95" s="92">
        <v>132</v>
      </c>
      <c r="I95" s="92">
        <f t="shared" si="9"/>
        <v>72.55893723969794</v>
      </c>
      <c r="J95" s="92">
        <f t="shared" si="10"/>
        <v>127.52782908795396</v>
      </c>
    </row>
    <row r="96" spans="1:10" ht="10.5">
      <c r="A96" s="90">
        <f t="shared" si="12"/>
        <v>59</v>
      </c>
      <c r="B96" s="91">
        <f>B95+30</f>
        <v>34330</v>
      </c>
      <c r="C96" s="92">
        <f>Plan9!I83</f>
        <v>-3526.9776296927284</v>
      </c>
      <c r="D96" s="108">
        <v>2636.991993</v>
      </c>
      <c r="E96" s="92">
        <f t="shared" si="7"/>
        <v>-1.3375003181864906</v>
      </c>
      <c r="F96" s="118">
        <v>52.868217</v>
      </c>
      <c r="G96" s="92">
        <f t="shared" si="8"/>
        <v>-70.71125705945244</v>
      </c>
      <c r="H96" s="92">
        <v>132</v>
      </c>
      <c r="I96" s="92">
        <f t="shared" si="9"/>
        <v>-93.3388593184772</v>
      </c>
      <c r="J96" s="92">
        <f t="shared" si="10"/>
        <v>-164.05011637792964</v>
      </c>
    </row>
    <row r="97" spans="1:10" ht="10.5">
      <c r="A97" s="90">
        <f t="shared" si="12"/>
        <v>60</v>
      </c>
      <c r="B97" s="91">
        <f>B96+31</f>
        <v>34361</v>
      </c>
      <c r="C97" s="92">
        <f>Plan9!I84</f>
        <v>400.51676779228</v>
      </c>
      <c r="D97" s="108">
        <v>3631.929071</v>
      </c>
      <c r="E97" s="92">
        <f t="shared" si="7"/>
        <v>0.1102765940530891</v>
      </c>
      <c r="F97" s="118">
        <v>52.868217</v>
      </c>
      <c r="G97" s="92">
        <f t="shared" si="8"/>
        <v>5.830126904419624</v>
      </c>
      <c r="H97" s="92">
        <v>132</v>
      </c>
      <c r="I97" s="92">
        <f t="shared" si="9"/>
        <v>7.695767513833903</v>
      </c>
      <c r="J97" s="92">
        <f t="shared" si="10"/>
        <v>13.525894418253525</v>
      </c>
    </row>
    <row r="98" spans="1:10" ht="10.5">
      <c r="A98" s="90">
        <f>A97+1</f>
        <v>61</v>
      </c>
      <c r="B98" s="91">
        <f>B97+31</f>
        <v>34392</v>
      </c>
      <c r="C98" s="92">
        <f>Plan9!I85</f>
        <v>502.79595016446547</v>
      </c>
      <c r="D98" s="108">
        <v>5132.642163</v>
      </c>
      <c r="E98" s="92">
        <f t="shared" si="7"/>
        <v>0.09796045276427065</v>
      </c>
      <c r="F98" s="118">
        <v>52.868217</v>
      </c>
      <c r="G98" s="92">
        <f t="shared" si="8"/>
        <v>5.178994474159711</v>
      </c>
      <c r="H98" s="92">
        <v>132</v>
      </c>
      <c r="I98" s="92">
        <f t="shared" si="9"/>
        <v>6.836272705890818</v>
      </c>
      <c r="J98" s="92">
        <f t="shared" si="10"/>
        <v>12.015267180050529</v>
      </c>
    </row>
    <row r="99" spans="1:10" ht="10.5">
      <c r="A99" s="90">
        <f>A98+1</f>
        <v>62</v>
      </c>
      <c r="B99" s="91">
        <f>B98+28</f>
        <v>34420</v>
      </c>
      <c r="C99" s="92">
        <f>Plan9!I86</f>
        <v>640.2961315517823</v>
      </c>
      <c r="D99" s="108">
        <v>7214.955088</v>
      </c>
      <c r="E99" s="92">
        <f t="shared" si="7"/>
        <v>0.08874568500318603</v>
      </c>
      <c r="F99" s="118">
        <v>52.868217</v>
      </c>
      <c r="G99" s="92">
        <f t="shared" si="8"/>
        <v>4.691826132562085</v>
      </c>
      <c r="H99" s="92">
        <v>132</v>
      </c>
      <c r="I99" s="92">
        <f t="shared" si="9"/>
        <v>6.193210494981952</v>
      </c>
      <c r="J99" s="92">
        <f t="shared" si="10"/>
        <v>10.885036627544036</v>
      </c>
    </row>
    <row r="100" spans="1:10" ht="10.5">
      <c r="A100" s="90">
        <f>A99+1</f>
        <v>63</v>
      </c>
      <c r="B100" s="91">
        <f>B99+31</f>
        <v>34451</v>
      </c>
      <c r="C100" s="92">
        <f>Plan9!I87</f>
        <v>833.9758839666029</v>
      </c>
      <c r="D100" s="108">
        <v>10323.157739</v>
      </c>
      <c r="E100" s="92">
        <f t="shared" si="7"/>
        <v>0.08078689728976182</v>
      </c>
      <c r="F100" s="118">
        <v>52.868217</v>
      </c>
      <c r="G100" s="92">
        <f t="shared" si="8"/>
        <v>4.27105921667184</v>
      </c>
      <c r="H100" s="92">
        <v>132</v>
      </c>
      <c r="I100" s="92">
        <f t="shared" si="9"/>
        <v>5.637798166006828</v>
      </c>
      <c r="J100" s="92">
        <f t="shared" si="10"/>
        <v>9.908857382678669</v>
      </c>
    </row>
    <row r="101" spans="1:10" ht="10.5">
      <c r="A101" s="90">
        <f>A100+1</f>
        <v>64</v>
      </c>
      <c r="B101" s="91">
        <f>B100+30</f>
        <v>34481</v>
      </c>
      <c r="C101" s="92">
        <f>Plan9!I88</f>
        <v>81251.7074100287</v>
      </c>
      <c r="D101" s="108">
        <v>14747.663145</v>
      </c>
      <c r="E101" s="92">
        <f t="shared" si="7"/>
        <v>5.5094632018074</v>
      </c>
      <c r="F101" s="118">
        <v>52.868217</v>
      </c>
      <c r="G101" s="92">
        <f t="shared" si="8"/>
        <v>291.2754961066684</v>
      </c>
      <c r="H101" s="92">
        <v>132</v>
      </c>
      <c r="I101" s="92">
        <f t="shared" si="9"/>
        <v>384.4836548608023</v>
      </c>
      <c r="J101" s="92">
        <f t="shared" si="10"/>
        <v>675.7591509674708</v>
      </c>
    </row>
    <row r="102" spans="1:10" ht="10.5">
      <c r="A102" s="90">
        <f aca="true" t="shared" si="13" ref="A102:A108">A101+1</f>
        <v>65</v>
      </c>
      <c r="B102" s="91">
        <f>B101+30</f>
        <v>34511</v>
      </c>
      <c r="C102" s="92">
        <f>Plan9!I89</f>
        <v>41.855035945970656</v>
      </c>
      <c r="D102" s="108">
        <v>21049.339606</v>
      </c>
      <c r="E102" s="92">
        <f t="shared" si="7"/>
        <v>0.0019884251349168267</v>
      </c>
      <c r="F102" s="118">
        <v>52.868217</v>
      </c>
      <c r="G102" s="92">
        <f t="shared" si="8"/>
        <v>0.10512449152103708</v>
      </c>
      <c r="H102" s="92">
        <v>132</v>
      </c>
      <c r="I102" s="92">
        <f t="shared" si="9"/>
        <v>0.13876432880776896</v>
      </c>
      <c r="J102" s="92">
        <f t="shared" si="10"/>
        <v>0.24388882032880604</v>
      </c>
    </row>
    <row r="103" spans="1:10" ht="10.5">
      <c r="A103" s="90">
        <f t="shared" si="13"/>
        <v>66</v>
      </c>
      <c r="B103" s="91">
        <f>B102+31</f>
        <v>34542</v>
      </c>
      <c r="C103" s="92">
        <f>Plan9!I90</f>
        <v>61.34276257269167</v>
      </c>
      <c r="D103" s="108">
        <v>11.346741</v>
      </c>
      <c r="E103" s="92">
        <f t="shared" si="7"/>
        <v>5.40620100279822</v>
      </c>
      <c r="F103" s="118">
        <v>52.868217</v>
      </c>
      <c r="G103" s="92">
        <f t="shared" si="8"/>
        <v>285.81620776155387</v>
      </c>
      <c r="H103" s="92">
        <v>132</v>
      </c>
      <c r="I103" s="92">
        <f t="shared" si="9"/>
        <v>377.2773942452511</v>
      </c>
      <c r="J103" s="92">
        <f t="shared" si="10"/>
        <v>663.093602006805</v>
      </c>
    </row>
    <row r="104" spans="1:10" ht="10.5">
      <c r="A104" s="90">
        <f t="shared" si="13"/>
        <v>67</v>
      </c>
      <c r="B104" s="91">
        <f>B103+31</f>
        <v>34573</v>
      </c>
      <c r="C104" s="92">
        <f>Plan9!I91</f>
        <v>61.34276257269167</v>
      </c>
      <c r="D104" s="108">
        <v>12.036622</v>
      </c>
      <c r="E104" s="92">
        <f t="shared" si="7"/>
        <v>5.096343689507876</v>
      </c>
      <c r="F104" s="118">
        <v>52.868217</v>
      </c>
      <c r="G104" s="92">
        <f t="shared" si="8"/>
        <v>269.434604083483</v>
      </c>
      <c r="H104" s="92">
        <v>132</v>
      </c>
      <c r="I104" s="92">
        <f t="shared" si="9"/>
        <v>355.6536773901976</v>
      </c>
      <c r="J104" s="92">
        <f t="shared" si="10"/>
        <v>625.0882814736806</v>
      </c>
    </row>
    <row r="105" spans="1:10" ht="10.5">
      <c r="A105" s="90">
        <f t="shared" si="13"/>
        <v>68</v>
      </c>
      <c r="B105" s="91">
        <f>B104+30</f>
        <v>34603</v>
      </c>
      <c r="C105" s="92">
        <f>Plan9!I92</f>
        <v>61.34276257269167</v>
      </c>
      <c r="D105" s="108">
        <v>12.693821</v>
      </c>
      <c r="E105" s="92">
        <f t="shared" si="7"/>
        <v>4.832489962848197</v>
      </c>
      <c r="F105" s="118">
        <v>52.868217</v>
      </c>
      <c r="G105" s="92">
        <f t="shared" si="8"/>
        <v>255.48512800618045</v>
      </c>
      <c r="H105" s="92">
        <v>132</v>
      </c>
      <c r="I105" s="92">
        <f t="shared" si="9"/>
        <v>337.24036896815824</v>
      </c>
      <c r="J105" s="92">
        <f t="shared" si="10"/>
        <v>592.7254969743387</v>
      </c>
    </row>
    <row r="106" spans="1:10" ht="10.5">
      <c r="A106" s="90">
        <f t="shared" si="13"/>
        <v>69</v>
      </c>
      <c r="B106" s="91">
        <f>B105+31</f>
        <v>34634</v>
      </c>
      <c r="C106" s="92">
        <f>Plan9!I93</f>
        <v>61.34276257269167</v>
      </c>
      <c r="D106" s="108">
        <v>12.885497</v>
      </c>
      <c r="E106" s="92">
        <f t="shared" si="7"/>
        <v>4.7606050874631896</v>
      </c>
      <c r="F106" s="118">
        <v>52.868217</v>
      </c>
      <c r="G106" s="92">
        <f t="shared" si="8"/>
        <v>251.6847028153079</v>
      </c>
      <c r="H106" s="92">
        <v>132</v>
      </c>
      <c r="I106" s="92">
        <f t="shared" si="9"/>
        <v>332.2238077162064</v>
      </c>
      <c r="J106" s="92">
        <f t="shared" si="10"/>
        <v>583.9085105315144</v>
      </c>
    </row>
    <row r="107" spans="1:10" ht="10.5">
      <c r="A107" s="90">
        <f t="shared" si="13"/>
        <v>70</v>
      </c>
      <c r="B107" s="91">
        <f>B106+30</f>
        <v>34664</v>
      </c>
      <c r="C107" s="92">
        <f>Plan9!I94</f>
        <v>61.34276257269167</v>
      </c>
      <c r="D107" s="108">
        <v>13.125167</v>
      </c>
      <c r="E107" s="92">
        <f t="shared" si="7"/>
        <v>4.673674824304458</v>
      </c>
      <c r="F107" s="118">
        <v>52.868217</v>
      </c>
      <c r="G107" s="92">
        <f t="shared" si="8"/>
        <v>247.08885479876494</v>
      </c>
      <c r="H107" s="92">
        <v>132</v>
      </c>
      <c r="I107" s="92">
        <f t="shared" si="9"/>
        <v>326.15728833436975</v>
      </c>
      <c r="J107" s="92">
        <f t="shared" si="10"/>
        <v>573.2461431331346</v>
      </c>
    </row>
    <row r="108" spans="1:10" ht="10.5">
      <c r="A108" s="90">
        <f t="shared" si="13"/>
        <v>71</v>
      </c>
      <c r="B108" s="91">
        <f>B107+31</f>
        <v>34695</v>
      </c>
      <c r="C108" s="92">
        <f>Plan9!I95</f>
        <v>110.8759313688863</v>
      </c>
      <c r="D108" s="108">
        <v>13.554359</v>
      </c>
      <c r="E108" s="92">
        <f t="shared" si="7"/>
        <v>8.180094047153856</v>
      </c>
      <c r="F108" s="118">
        <v>52.868217</v>
      </c>
      <c r="G108" s="92">
        <f t="shared" si="8"/>
        <v>432.4669871653383</v>
      </c>
      <c r="H108" s="92">
        <v>132</v>
      </c>
      <c r="I108" s="92">
        <f t="shared" si="9"/>
        <v>570.8564230582466</v>
      </c>
      <c r="J108" s="92">
        <f t="shared" si="10"/>
        <v>1003.3234102235849</v>
      </c>
    </row>
    <row r="109" spans="1:10" ht="10.5">
      <c r="A109" s="90">
        <f>A108+1</f>
        <v>72</v>
      </c>
      <c r="B109" s="91">
        <f>B108+31</f>
        <v>34726</v>
      </c>
      <c r="C109" s="92">
        <f>Plan9!I96</f>
        <v>110.8759313688863</v>
      </c>
      <c r="D109" s="108">
        <v>13.851199</v>
      </c>
      <c r="E109" s="92">
        <f t="shared" si="7"/>
        <v>8.004789431505987</v>
      </c>
      <c r="F109" s="118">
        <v>52.868217</v>
      </c>
      <c r="G109" s="92">
        <f t="shared" si="8"/>
        <v>423.19894470416517</v>
      </c>
      <c r="H109" s="92">
        <v>132</v>
      </c>
      <c r="I109" s="92">
        <f t="shared" si="9"/>
        <v>558.622607009498</v>
      </c>
      <c r="J109" s="92">
        <f t="shared" si="10"/>
        <v>981.8215517136632</v>
      </c>
    </row>
    <row r="110" spans="1:10" ht="10.5">
      <c r="A110" s="90">
        <f>A109+1</f>
        <v>73</v>
      </c>
      <c r="B110" s="91">
        <f>B109+28</f>
        <v>34754</v>
      </c>
      <c r="C110" s="92">
        <f>Plan9!I97</f>
        <v>110.8759313688863</v>
      </c>
      <c r="D110" s="108">
        <v>14.082514</v>
      </c>
      <c r="E110" s="92">
        <f t="shared" si="7"/>
        <v>7.873305247123227</v>
      </c>
      <c r="F110" s="118">
        <v>52.868217</v>
      </c>
      <c r="G110" s="92">
        <f t="shared" si="8"/>
        <v>416.2476103121494</v>
      </c>
      <c r="H110" s="92">
        <v>132</v>
      </c>
      <c r="I110" s="92">
        <f t="shared" si="9"/>
        <v>549.4468456120372</v>
      </c>
      <c r="J110" s="92">
        <f t="shared" si="10"/>
        <v>965.6944559241866</v>
      </c>
    </row>
    <row r="111" spans="1:10" ht="10.5">
      <c r="A111" s="90">
        <f>A110+1</f>
        <v>74</v>
      </c>
      <c r="B111" s="91">
        <f>B110+31</f>
        <v>34785</v>
      </c>
      <c r="C111" s="92">
        <f>Plan9!I98</f>
        <v>110.8759313688863</v>
      </c>
      <c r="D111" s="108">
        <v>14.22193</v>
      </c>
      <c r="E111" s="92">
        <f t="shared" si="7"/>
        <v>7.796124110362398</v>
      </c>
      <c r="F111" s="118">
        <v>52.868217</v>
      </c>
      <c r="G111" s="92">
        <f t="shared" si="8"/>
        <v>412.1671812255712</v>
      </c>
      <c r="H111" s="92">
        <v>132</v>
      </c>
      <c r="I111" s="92">
        <f t="shared" si="9"/>
        <v>544.060679217754</v>
      </c>
      <c r="J111" s="92">
        <f t="shared" si="10"/>
        <v>956.2278604433252</v>
      </c>
    </row>
    <row r="112" spans="1:10" ht="10.5">
      <c r="A112" s="90">
        <f>A111+1</f>
        <v>75</v>
      </c>
      <c r="B112" s="91">
        <f>B111+30</f>
        <v>34815</v>
      </c>
      <c r="C112" s="92">
        <f>Plan9!I99</f>
        <v>110.8759313688863</v>
      </c>
      <c r="D112" s="108">
        <v>14.422459</v>
      </c>
      <c r="E112" s="92">
        <f t="shared" si="7"/>
        <v>7.6877272709796785</v>
      </c>
      <c r="F112" s="118">
        <v>52.868217</v>
      </c>
      <c r="G112" s="92">
        <f t="shared" si="8"/>
        <v>406.43643359897146</v>
      </c>
      <c r="H112" s="92">
        <v>132</v>
      </c>
      <c r="I112" s="92">
        <f t="shared" si="9"/>
        <v>536.4960923506424</v>
      </c>
      <c r="J112" s="92">
        <f t="shared" si="10"/>
        <v>942.9325259496138</v>
      </c>
    </row>
    <row r="113" spans="1:10" ht="10.5">
      <c r="A113" s="90">
        <f>A112+1</f>
        <v>76</v>
      </c>
      <c r="B113" s="91">
        <f>B112+31</f>
        <v>34846</v>
      </c>
      <c r="C113" s="92">
        <f>Plan9!I100</f>
        <v>110.8759313688863</v>
      </c>
      <c r="D113" s="108">
        <v>14.69937</v>
      </c>
      <c r="E113" s="92">
        <f t="shared" si="7"/>
        <v>7.542903632528898</v>
      </c>
      <c r="F113" s="118">
        <v>52.868217</v>
      </c>
      <c r="G113" s="92">
        <f t="shared" si="8"/>
        <v>398.77986605462604</v>
      </c>
      <c r="H113" s="92">
        <v>132</v>
      </c>
      <c r="I113" s="92">
        <f t="shared" si="9"/>
        <v>526.3894231921064</v>
      </c>
      <c r="J113" s="92">
        <f t="shared" si="10"/>
        <v>925.1692892467324</v>
      </c>
    </row>
    <row r="115" spans="1:10" ht="10.5">
      <c r="A115" s="95"/>
      <c r="B115" s="96"/>
      <c r="C115" s="97"/>
      <c r="D115" s="97"/>
      <c r="E115" s="97">
        <f>SUM(E77:E114)</f>
        <v>105.45476970273808</v>
      </c>
      <c r="F115" s="97"/>
      <c r="G115" s="97">
        <f>SUM(G77:G114)</f>
        <v>5575.205648329381</v>
      </c>
      <c r="H115" s="97"/>
      <c r="I115" s="97">
        <f>SUM(I77:I114)</f>
        <v>7359.271455794786</v>
      </c>
      <c r="J115" s="97">
        <f>SUM(J77:J114)</f>
        <v>12934.47710412417</v>
      </c>
    </row>
    <row r="117" spans="1:10" ht="10.5">
      <c r="A117" s="63" t="s">
        <v>0</v>
      </c>
      <c r="J117" s="65" t="s">
        <v>150</v>
      </c>
    </row>
    <row r="118" spans="1:10" ht="10.5">
      <c r="A118" s="63" t="s">
        <v>40</v>
      </c>
      <c r="J118" s="65" t="s">
        <v>148</v>
      </c>
    </row>
    <row r="119" ht="10.5">
      <c r="A119" s="63"/>
    </row>
    <row r="120" spans="1:7" ht="10.5">
      <c r="A120" s="60" t="s">
        <v>208</v>
      </c>
      <c r="B120" s="60" t="s">
        <v>188</v>
      </c>
      <c r="D120" s="60"/>
      <c r="E120" s="60"/>
      <c r="F120" s="60"/>
      <c r="G120" s="60"/>
    </row>
    <row r="121" spans="1:7" ht="10.5">
      <c r="A121" s="60" t="s">
        <v>4</v>
      </c>
      <c r="B121" s="60" t="s">
        <v>188</v>
      </c>
      <c r="D121" s="60"/>
      <c r="E121" s="60"/>
      <c r="F121" s="60"/>
      <c r="G121" s="60"/>
    </row>
    <row r="122" ht="10.5">
      <c r="A122" s="60"/>
    </row>
    <row r="123" spans="1:5" ht="10.5">
      <c r="A123" s="60" t="s">
        <v>178</v>
      </c>
      <c r="B123" s="60"/>
      <c r="C123" s="60"/>
      <c r="D123" s="60"/>
      <c r="E123" s="60"/>
    </row>
    <row r="124" ht="10.5">
      <c r="C124" s="60" t="s">
        <v>89</v>
      </c>
    </row>
    <row r="125" spans="1:2" ht="11.25" thickBot="1">
      <c r="A125" s="60"/>
      <c r="B125" s="60"/>
    </row>
    <row r="126" spans="1:10" ht="11.25" thickTop="1">
      <c r="A126" s="82" t="s">
        <v>66</v>
      </c>
      <c r="B126" s="82" t="s">
        <v>5</v>
      </c>
      <c r="C126" s="82" t="s">
        <v>139</v>
      </c>
      <c r="D126" s="82" t="s">
        <v>151</v>
      </c>
      <c r="E126" s="82" t="s">
        <v>59</v>
      </c>
      <c r="F126" s="82" t="s">
        <v>151</v>
      </c>
      <c r="G126" s="82" t="s">
        <v>59</v>
      </c>
      <c r="H126" s="82" t="s">
        <v>158</v>
      </c>
      <c r="I126" s="82" t="s">
        <v>59</v>
      </c>
      <c r="J126" s="82" t="s">
        <v>59</v>
      </c>
    </row>
    <row r="127" spans="1:10" ht="10.5">
      <c r="A127" s="84" t="s">
        <v>64</v>
      </c>
      <c r="B127" s="84"/>
      <c r="C127" s="84" t="s">
        <v>143</v>
      </c>
      <c r="D127" s="84" t="s">
        <v>152</v>
      </c>
      <c r="E127" s="84" t="s">
        <v>34</v>
      </c>
      <c r="F127" s="84" t="s">
        <v>152</v>
      </c>
      <c r="G127" s="84" t="s">
        <v>152</v>
      </c>
      <c r="H127" s="84" t="s">
        <v>87</v>
      </c>
      <c r="I127" s="84" t="s">
        <v>87</v>
      </c>
      <c r="J127" s="84" t="s">
        <v>162</v>
      </c>
    </row>
    <row r="128" spans="1:10" ht="10.5">
      <c r="A128" s="84" t="s">
        <v>90</v>
      </c>
      <c r="B128" s="84"/>
      <c r="C128" s="84" t="s">
        <v>144</v>
      </c>
      <c r="D128" s="84" t="s">
        <v>153</v>
      </c>
      <c r="E128" s="84"/>
      <c r="F128" s="84" t="s">
        <v>153</v>
      </c>
      <c r="G128" s="84" t="s">
        <v>153</v>
      </c>
      <c r="H128" s="84" t="s">
        <v>64</v>
      </c>
      <c r="I128" s="84" t="s">
        <v>64</v>
      </c>
      <c r="J128" s="84" t="s">
        <v>152</v>
      </c>
    </row>
    <row r="129" spans="1:10" ht="10.5">
      <c r="A129" s="84"/>
      <c r="B129" s="84"/>
      <c r="C129" s="84" t="s">
        <v>140</v>
      </c>
      <c r="D129" s="84" t="s">
        <v>154</v>
      </c>
      <c r="E129" s="84"/>
      <c r="F129" s="84" t="s">
        <v>154</v>
      </c>
      <c r="G129" s="84"/>
      <c r="H129" s="84" t="s">
        <v>159</v>
      </c>
      <c r="I129" s="84" t="s">
        <v>159</v>
      </c>
      <c r="J129" s="84" t="s">
        <v>153</v>
      </c>
    </row>
    <row r="130" spans="1:10" ht="10.5">
      <c r="A130" s="84"/>
      <c r="B130" s="84"/>
      <c r="C130" s="84" t="s">
        <v>141</v>
      </c>
      <c r="D130" s="84" t="s">
        <v>155</v>
      </c>
      <c r="E130" s="84"/>
      <c r="F130" s="84" t="s">
        <v>157</v>
      </c>
      <c r="G130" s="84" t="s">
        <v>157</v>
      </c>
      <c r="H130" s="84" t="s">
        <v>160</v>
      </c>
      <c r="I130" s="84" t="s">
        <v>157</v>
      </c>
      <c r="J130" s="84" t="s">
        <v>163</v>
      </c>
    </row>
    <row r="131" spans="1:10" ht="10.5">
      <c r="A131" s="84"/>
      <c r="B131" s="84"/>
      <c r="C131" s="84" t="s">
        <v>145</v>
      </c>
      <c r="D131" s="84" t="s">
        <v>156</v>
      </c>
      <c r="E131" s="84"/>
      <c r="F131" s="116">
        <v>41698</v>
      </c>
      <c r="G131" s="116">
        <v>41698</v>
      </c>
      <c r="H131" s="84" t="s">
        <v>161</v>
      </c>
      <c r="I131" s="116">
        <v>41698</v>
      </c>
      <c r="J131" s="84" t="s">
        <v>159</v>
      </c>
    </row>
    <row r="132" spans="1:10" ht="10.5">
      <c r="A132" s="84"/>
      <c r="B132" s="84"/>
      <c r="C132" s="84" t="s">
        <v>142</v>
      </c>
      <c r="D132" s="84"/>
      <c r="E132" s="84"/>
      <c r="F132" s="84"/>
      <c r="G132" s="84"/>
      <c r="H132" s="116">
        <v>37663</v>
      </c>
      <c r="I132" s="84"/>
      <c r="J132" s="84" t="s">
        <v>157</v>
      </c>
    </row>
    <row r="133" spans="1:10" ht="11.25" thickBot="1">
      <c r="A133" s="86"/>
      <c r="B133" s="86"/>
      <c r="C133" s="86" t="s">
        <v>11</v>
      </c>
      <c r="D133" s="86"/>
      <c r="E133" s="86"/>
      <c r="F133" s="86"/>
      <c r="G133" s="86"/>
      <c r="H133" s="86" t="s">
        <v>164</v>
      </c>
      <c r="I133" s="86"/>
      <c r="J133" s="117"/>
    </row>
    <row r="134" ht="11.25" thickTop="1"/>
    <row r="135" spans="1:10" ht="10.5">
      <c r="A135" s="90">
        <f>A113+1</f>
        <v>77</v>
      </c>
      <c r="B135" s="91">
        <f>B113+30</f>
        <v>34876</v>
      </c>
      <c r="C135" s="92">
        <f>Plan9!I115</f>
        <v>110.8759313688863</v>
      </c>
      <c r="D135" s="119">
        <v>15.077143</v>
      </c>
      <c r="E135" s="92">
        <f aca="true" t="shared" si="14" ref="E135:E170">C135/D135</f>
        <v>7.353908586586086</v>
      </c>
      <c r="F135" s="118">
        <v>52.868217</v>
      </c>
      <c r="G135" s="92">
        <f>E135*F135</f>
        <v>388.7880349537965</v>
      </c>
      <c r="H135" s="92">
        <v>132</v>
      </c>
      <c r="I135" s="92">
        <f aca="true" t="shared" si="15" ref="I135:I170">G135*H135/100</f>
        <v>513.2002061390115</v>
      </c>
      <c r="J135" s="92">
        <f aca="true" t="shared" si="16" ref="J135:J170">G135+I135</f>
        <v>901.988241092808</v>
      </c>
    </row>
    <row r="136" spans="1:10" ht="10.5">
      <c r="A136" s="90">
        <f aca="true" t="shared" si="17" ref="A136:A142">A135+1</f>
        <v>78</v>
      </c>
      <c r="B136" s="91">
        <f>B135+31</f>
        <v>34907</v>
      </c>
      <c r="C136" s="92">
        <f>Plan9!I116</f>
        <v>110.8759313688863</v>
      </c>
      <c r="D136" s="119">
        <v>15.351547</v>
      </c>
      <c r="E136" s="92">
        <f t="shared" si="14"/>
        <v>7.222459819123525</v>
      </c>
      <c r="F136" s="118">
        <v>52.868217</v>
      </c>
      <c r="G136" s="92">
        <f aca="true" t="shared" si="18" ref="G136:G170">E136*F136</f>
        <v>381.8385729912033</v>
      </c>
      <c r="H136" s="92">
        <v>132</v>
      </c>
      <c r="I136" s="92">
        <f t="shared" si="15"/>
        <v>504.02691634838834</v>
      </c>
      <c r="J136" s="92">
        <f t="shared" si="16"/>
        <v>885.8654893395917</v>
      </c>
    </row>
    <row r="137" spans="1:10" ht="10.5">
      <c r="A137" s="90">
        <f t="shared" si="17"/>
        <v>79</v>
      </c>
      <c r="B137" s="91">
        <f>B136+31</f>
        <v>34938</v>
      </c>
      <c r="C137" s="92">
        <f>Plan9!I117</f>
        <v>110.8759313688863</v>
      </c>
      <c r="D137" s="108">
        <v>15.729195</v>
      </c>
      <c r="E137" s="92">
        <f t="shared" si="14"/>
        <v>7.049053137740762</v>
      </c>
      <c r="F137" s="118">
        <v>52.868217</v>
      </c>
      <c r="G137" s="92">
        <f t="shared" si="18"/>
        <v>372.6708709306095</v>
      </c>
      <c r="H137" s="92">
        <v>132</v>
      </c>
      <c r="I137" s="92">
        <f t="shared" si="15"/>
        <v>491.92554962840455</v>
      </c>
      <c r="J137" s="92">
        <f t="shared" si="16"/>
        <v>864.5964205590141</v>
      </c>
    </row>
    <row r="138" spans="1:10" ht="10.5">
      <c r="A138" s="90">
        <f t="shared" si="17"/>
        <v>80</v>
      </c>
      <c r="B138" s="91">
        <f>B137+30</f>
        <v>34968</v>
      </c>
      <c r="C138" s="92">
        <f>Plan9!I118</f>
        <v>110.8759313688863</v>
      </c>
      <c r="D138" s="108">
        <v>15.889632</v>
      </c>
      <c r="E138" s="92">
        <f t="shared" si="14"/>
        <v>6.97787912073019</v>
      </c>
      <c r="F138" s="118">
        <v>52.868217</v>
      </c>
      <c r="G138" s="92">
        <f t="shared" si="18"/>
        <v>368.9080275545329</v>
      </c>
      <c r="H138" s="92">
        <v>132</v>
      </c>
      <c r="I138" s="92">
        <f t="shared" si="15"/>
        <v>486.95859637198345</v>
      </c>
      <c r="J138" s="92">
        <f t="shared" si="16"/>
        <v>855.8666239265164</v>
      </c>
    </row>
    <row r="139" spans="1:10" ht="10.5">
      <c r="A139" s="90">
        <f t="shared" si="17"/>
        <v>81</v>
      </c>
      <c r="B139" s="91">
        <f>B138+31</f>
        <v>34999</v>
      </c>
      <c r="C139" s="92">
        <f>Plan9!I119</f>
        <v>110.8759313688863</v>
      </c>
      <c r="D139" s="108">
        <v>16.07554</v>
      </c>
      <c r="E139" s="92">
        <f t="shared" si="14"/>
        <v>6.8971823882050804</v>
      </c>
      <c r="F139" s="118">
        <v>52.868217</v>
      </c>
      <c r="G139" s="92">
        <f t="shared" si="18"/>
        <v>364.64173518820445</v>
      </c>
      <c r="H139" s="92">
        <v>132</v>
      </c>
      <c r="I139" s="92">
        <f t="shared" si="15"/>
        <v>481.3270904484299</v>
      </c>
      <c r="J139" s="92">
        <f t="shared" si="16"/>
        <v>845.9688256366344</v>
      </c>
    </row>
    <row r="140" spans="1:10" ht="10.5">
      <c r="A140" s="90">
        <f t="shared" si="17"/>
        <v>82</v>
      </c>
      <c r="B140" s="91">
        <f>B139+30</f>
        <v>35029</v>
      </c>
      <c r="C140" s="92">
        <f>Plan9!I120</f>
        <v>110.8759313688863</v>
      </c>
      <c r="D140" s="119">
        <v>16.300597</v>
      </c>
      <c r="E140" s="92">
        <f t="shared" si="14"/>
        <v>6.801955251631968</v>
      </c>
      <c r="F140" s="118">
        <v>52.868217</v>
      </c>
      <c r="G140" s="92">
        <f t="shared" si="18"/>
        <v>359.6072462675685</v>
      </c>
      <c r="H140" s="92">
        <v>132</v>
      </c>
      <c r="I140" s="92">
        <f t="shared" si="15"/>
        <v>474.6815650731904</v>
      </c>
      <c r="J140" s="92">
        <f t="shared" si="16"/>
        <v>834.2888113407589</v>
      </c>
    </row>
    <row r="141" spans="1:10" ht="10.5">
      <c r="A141" s="90">
        <f t="shared" si="17"/>
        <v>83</v>
      </c>
      <c r="B141" s="91">
        <f>B140+31</f>
        <v>35060</v>
      </c>
      <c r="C141" s="92">
        <f>Plan9!I121</f>
        <v>144.8348206181072</v>
      </c>
      <c r="D141" s="108">
        <v>16.546736</v>
      </c>
      <c r="E141" s="92">
        <f t="shared" si="14"/>
        <v>8.753074964035639</v>
      </c>
      <c r="F141" s="118">
        <v>52.868217</v>
      </c>
      <c r="G141" s="92">
        <f t="shared" si="18"/>
        <v>462.75946661590336</v>
      </c>
      <c r="H141" s="92">
        <v>132</v>
      </c>
      <c r="I141" s="92">
        <f t="shared" si="15"/>
        <v>610.8424959329925</v>
      </c>
      <c r="J141" s="92">
        <f t="shared" si="16"/>
        <v>1073.601962548896</v>
      </c>
    </row>
    <row r="142" spans="1:10" ht="10.5">
      <c r="A142" s="90">
        <f t="shared" si="17"/>
        <v>84</v>
      </c>
      <c r="B142" s="91">
        <f>B141+31</f>
        <v>35091</v>
      </c>
      <c r="C142" s="92">
        <f>Plan9!I122</f>
        <v>144.8348206181072</v>
      </c>
      <c r="D142" s="108">
        <v>16.819757</v>
      </c>
      <c r="E142" s="92">
        <f t="shared" si="14"/>
        <v>8.610993643850335</v>
      </c>
      <c r="F142" s="118">
        <v>52.868217</v>
      </c>
      <c r="G142" s="92">
        <f t="shared" si="18"/>
        <v>455.24788054870027</v>
      </c>
      <c r="H142" s="92">
        <v>132</v>
      </c>
      <c r="I142" s="92">
        <f t="shared" si="15"/>
        <v>600.9272023242844</v>
      </c>
      <c r="J142" s="92">
        <f t="shared" si="16"/>
        <v>1056.1750828729846</v>
      </c>
    </row>
    <row r="143" spans="1:10" ht="10.5">
      <c r="A143" s="90">
        <f aca="true" t="shared" si="19" ref="A143:A160">A142+1</f>
        <v>85</v>
      </c>
      <c r="B143" s="91">
        <f>B142+29</f>
        <v>35120</v>
      </c>
      <c r="C143" s="92">
        <f>Plan9!I123</f>
        <v>144.8348206181072</v>
      </c>
      <c r="D143" s="108">
        <v>17.065235</v>
      </c>
      <c r="E143" s="92">
        <f t="shared" si="14"/>
        <v>8.487127227846976</v>
      </c>
      <c r="F143" s="118">
        <v>52.868217</v>
      </c>
      <c r="G143" s="92">
        <f t="shared" si="18"/>
        <v>448.6992839884224</v>
      </c>
      <c r="H143" s="92">
        <v>132</v>
      </c>
      <c r="I143" s="92">
        <f t="shared" si="15"/>
        <v>592.2830548647175</v>
      </c>
      <c r="J143" s="92">
        <f t="shared" si="16"/>
        <v>1040.98233885314</v>
      </c>
    </row>
    <row r="144" spans="1:10" ht="10.5">
      <c r="A144" s="90">
        <f t="shared" si="19"/>
        <v>86</v>
      </c>
      <c r="B144" s="91">
        <f>B143+31</f>
        <v>35151</v>
      </c>
      <c r="C144" s="92">
        <f>Plan9!I124</f>
        <v>144.8348206181072</v>
      </c>
      <c r="D144" s="108">
        <v>17.186488</v>
      </c>
      <c r="E144" s="92">
        <f t="shared" si="14"/>
        <v>8.427249396043402</v>
      </c>
      <c r="F144" s="118">
        <v>52.868217</v>
      </c>
      <c r="G144" s="92">
        <f t="shared" si="18"/>
        <v>445.5336497831415</v>
      </c>
      <c r="H144" s="92">
        <v>132</v>
      </c>
      <c r="I144" s="92">
        <f t="shared" si="15"/>
        <v>588.1044177137468</v>
      </c>
      <c r="J144" s="92">
        <f t="shared" si="16"/>
        <v>1033.6380674968882</v>
      </c>
    </row>
    <row r="145" spans="1:10" ht="10.5">
      <c r="A145" s="90">
        <f>A144+1</f>
        <v>87</v>
      </c>
      <c r="B145" s="91">
        <f>B144+30</f>
        <v>35181</v>
      </c>
      <c r="C145" s="92">
        <f>Plan9!I125</f>
        <v>144.8348206181072</v>
      </c>
      <c r="D145" s="108">
        <v>17.236328</v>
      </c>
      <c r="E145" s="92">
        <f t="shared" si="14"/>
        <v>8.402881438442526</v>
      </c>
      <c r="F145" s="118">
        <v>52.868217</v>
      </c>
      <c r="G145" s="92">
        <f t="shared" si="18"/>
        <v>444.2453593128516</v>
      </c>
      <c r="H145" s="92">
        <v>132</v>
      </c>
      <c r="I145" s="92">
        <f t="shared" si="15"/>
        <v>586.4038742929641</v>
      </c>
      <c r="J145" s="92">
        <f t="shared" si="16"/>
        <v>1030.6492336058157</v>
      </c>
    </row>
    <row r="146" spans="1:10" ht="10.5">
      <c r="A146" s="90">
        <f t="shared" si="19"/>
        <v>88</v>
      </c>
      <c r="B146" s="91">
        <f>B145+31</f>
        <v>35212</v>
      </c>
      <c r="C146" s="92">
        <f>Plan9!I126</f>
        <v>144.8348206181072</v>
      </c>
      <c r="D146" s="108">
        <v>17.396625</v>
      </c>
      <c r="E146" s="92">
        <f t="shared" si="14"/>
        <v>8.325455116616423</v>
      </c>
      <c r="F146" s="118">
        <v>52.868217</v>
      </c>
      <c r="G146" s="92">
        <f t="shared" si="18"/>
        <v>440.1519677290374</v>
      </c>
      <c r="H146" s="92">
        <v>132</v>
      </c>
      <c r="I146" s="92">
        <f t="shared" si="15"/>
        <v>581.0005974023294</v>
      </c>
      <c r="J146" s="92">
        <f t="shared" si="16"/>
        <v>1021.1525651313668</v>
      </c>
    </row>
    <row r="147" spans="1:10" ht="10.5">
      <c r="A147" s="90">
        <f t="shared" si="19"/>
        <v>89</v>
      </c>
      <c r="B147" s="91">
        <f>B146+30</f>
        <v>35242</v>
      </c>
      <c r="C147" s="92">
        <f>Plan9!I127</f>
        <v>144.8348206181072</v>
      </c>
      <c r="D147" s="119">
        <v>17.619301</v>
      </c>
      <c r="E147" s="92">
        <f t="shared" si="14"/>
        <v>8.220236467843257</v>
      </c>
      <c r="F147" s="118">
        <v>52.868217</v>
      </c>
      <c r="G147" s="92">
        <f t="shared" si="18"/>
        <v>434.5892453732509</v>
      </c>
      <c r="H147" s="92">
        <v>132</v>
      </c>
      <c r="I147" s="92">
        <f t="shared" si="15"/>
        <v>573.6578038926912</v>
      </c>
      <c r="J147" s="92">
        <f t="shared" si="16"/>
        <v>1008.247049265942</v>
      </c>
    </row>
    <row r="148" spans="1:10" ht="10.5">
      <c r="A148" s="90">
        <f t="shared" si="19"/>
        <v>90</v>
      </c>
      <c r="B148" s="91">
        <f>B147+31</f>
        <v>35273</v>
      </c>
      <c r="C148" s="92">
        <f>Plan9!I128</f>
        <v>144.8348206181072</v>
      </c>
      <c r="D148" s="108">
        <v>17.853637</v>
      </c>
      <c r="E148" s="92">
        <f t="shared" si="14"/>
        <v>8.112342634618772</v>
      </c>
      <c r="F148" s="118">
        <v>52.868217</v>
      </c>
      <c r="G148" s="92">
        <f t="shared" si="18"/>
        <v>428.8850907853769</v>
      </c>
      <c r="H148" s="92">
        <v>132</v>
      </c>
      <c r="I148" s="92">
        <f t="shared" si="15"/>
        <v>566.1283198366975</v>
      </c>
      <c r="J148" s="92">
        <f t="shared" si="16"/>
        <v>995.0134106220744</v>
      </c>
    </row>
    <row r="149" spans="1:10" ht="10.5">
      <c r="A149" s="90">
        <f t="shared" si="19"/>
        <v>91</v>
      </c>
      <c r="B149" s="91">
        <f>B148+31</f>
        <v>35304</v>
      </c>
      <c r="C149" s="92">
        <f>Plan9!I129</f>
        <v>144.8348206181072</v>
      </c>
      <c r="D149" s="108">
        <v>18.06788</v>
      </c>
      <c r="E149" s="92">
        <f t="shared" si="14"/>
        <v>8.016149134160022</v>
      </c>
      <c r="F149" s="118">
        <v>52.868217</v>
      </c>
      <c r="G149" s="92">
        <f t="shared" si="18"/>
        <v>423.79951192913416</v>
      </c>
      <c r="H149" s="92">
        <v>132</v>
      </c>
      <c r="I149" s="92">
        <f t="shared" si="15"/>
        <v>559.4153557464571</v>
      </c>
      <c r="J149" s="92">
        <f t="shared" si="16"/>
        <v>983.2148676755912</v>
      </c>
    </row>
    <row r="150" spans="1:10" ht="10.5">
      <c r="A150" s="90">
        <f t="shared" si="19"/>
        <v>92</v>
      </c>
      <c r="B150" s="91">
        <f>B149+30</f>
        <v>35334</v>
      </c>
      <c r="C150" s="92">
        <f>Plan9!I130</f>
        <v>144.8348206181072</v>
      </c>
      <c r="D150" s="108">
        <v>18.158219</v>
      </c>
      <c r="E150" s="92">
        <f t="shared" si="14"/>
        <v>7.976267970890052</v>
      </c>
      <c r="F150" s="118">
        <v>52.868217</v>
      </c>
      <c r="G150" s="92">
        <f t="shared" si="18"/>
        <v>421.69106593516494</v>
      </c>
      <c r="H150" s="92">
        <v>132</v>
      </c>
      <c r="I150" s="92">
        <f t="shared" si="15"/>
        <v>556.6322070344178</v>
      </c>
      <c r="J150" s="92">
        <f t="shared" si="16"/>
        <v>978.3232729695827</v>
      </c>
    </row>
    <row r="151" spans="1:10" ht="10.5">
      <c r="A151" s="90">
        <f t="shared" si="19"/>
        <v>93</v>
      </c>
      <c r="B151" s="91">
        <f>B150+31</f>
        <v>35365</v>
      </c>
      <c r="C151" s="92">
        <f>Plan9!I131</f>
        <v>144.8348206181072</v>
      </c>
      <c r="D151" s="108">
        <v>18.16185</v>
      </c>
      <c r="E151" s="92">
        <f t="shared" si="14"/>
        <v>7.974673318968452</v>
      </c>
      <c r="F151" s="118">
        <v>52.868217</v>
      </c>
      <c r="G151" s="92">
        <f t="shared" si="18"/>
        <v>421.6067595313343</v>
      </c>
      <c r="H151" s="92">
        <v>132</v>
      </c>
      <c r="I151" s="92">
        <f t="shared" si="15"/>
        <v>556.5209225813613</v>
      </c>
      <c r="J151" s="92">
        <f t="shared" si="16"/>
        <v>978.1276821126957</v>
      </c>
    </row>
    <row r="152" spans="1:10" ht="10.5">
      <c r="A152" s="90">
        <f t="shared" si="19"/>
        <v>94</v>
      </c>
      <c r="B152" s="91">
        <f>B151+30</f>
        <v>35395</v>
      </c>
      <c r="C152" s="92">
        <f>Plan9!I132</f>
        <v>144.8348206181072</v>
      </c>
      <c r="D152" s="108">
        <v>18.230865</v>
      </c>
      <c r="E152" s="92">
        <f t="shared" si="14"/>
        <v>7.94448429178249</v>
      </c>
      <c r="F152" s="118">
        <v>52.868217</v>
      </c>
      <c r="G152" s="92">
        <f t="shared" si="18"/>
        <v>420.010719491048</v>
      </c>
      <c r="H152" s="92">
        <v>132</v>
      </c>
      <c r="I152" s="92">
        <f t="shared" si="15"/>
        <v>554.4141497281834</v>
      </c>
      <c r="J152" s="92">
        <f t="shared" si="16"/>
        <v>974.4248692192314</v>
      </c>
    </row>
    <row r="153" spans="1:10" ht="10.5">
      <c r="A153" s="90">
        <f t="shared" si="19"/>
        <v>95</v>
      </c>
      <c r="B153" s="91">
        <f>B152+31</f>
        <v>35426</v>
      </c>
      <c r="C153" s="92">
        <f>Plan9!I133</f>
        <v>194.583301500427</v>
      </c>
      <c r="D153" s="108">
        <v>18.292849</v>
      </c>
      <c r="E153" s="92">
        <f t="shared" si="14"/>
        <v>10.637123911121062</v>
      </c>
      <c r="F153" s="118">
        <v>52.868217</v>
      </c>
      <c r="G153" s="92">
        <f t="shared" si="18"/>
        <v>562.365775189037</v>
      </c>
      <c r="H153" s="92">
        <v>132</v>
      </c>
      <c r="I153" s="92">
        <f t="shared" si="15"/>
        <v>742.3228232495289</v>
      </c>
      <c r="J153" s="92">
        <f t="shared" si="16"/>
        <v>1304.6885984385658</v>
      </c>
    </row>
    <row r="154" spans="1:10" ht="10.5">
      <c r="A154" s="90">
        <f t="shared" si="19"/>
        <v>96</v>
      </c>
      <c r="B154" s="91">
        <f>B153+31</f>
        <v>35457</v>
      </c>
      <c r="C154" s="92">
        <f>Plan9!I134</f>
        <v>194.583301500427</v>
      </c>
      <c r="D154" s="108">
        <v>18.353215</v>
      </c>
      <c r="E154" s="92">
        <f t="shared" si="14"/>
        <v>10.602137091535571</v>
      </c>
      <c r="F154" s="118">
        <v>52.868217</v>
      </c>
      <c r="G154" s="92">
        <f t="shared" si="18"/>
        <v>560.5160844190515</v>
      </c>
      <c r="H154" s="92">
        <v>132</v>
      </c>
      <c r="I154" s="92">
        <f t="shared" si="15"/>
        <v>739.881231433148</v>
      </c>
      <c r="J154" s="92">
        <f t="shared" si="16"/>
        <v>1300.3973158521994</v>
      </c>
    </row>
    <row r="155" spans="1:10" ht="10.5">
      <c r="A155" s="90">
        <f t="shared" si="19"/>
        <v>97</v>
      </c>
      <c r="B155" s="91">
        <f>B154+28</f>
        <v>35485</v>
      </c>
      <c r="C155" s="92">
        <f>Plan9!I135</f>
        <v>194.583301500427</v>
      </c>
      <c r="D155" s="108">
        <v>18.501876</v>
      </c>
      <c r="E155" s="92">
        <f t="shared" si="14"/>
        <v>10.516949821760075</v>
      </c>
      <c r="F155" s="118">
        <v>52.868217</v>
      </c>
      <c r="G155" s="92">
        <f t="shared" si="18"/>
        <v>556.012385354923</v>
      </c>
      <c r="H155" s="92">
        <v>132</v>
      </c>
      <c r="I155" s="92">
        <f t="shared" si="15"/>
        <v>733.9363486684983</v>
      </c>
      <c r="J155" s="92">
        <f t="shared" si="16"/>
        <v>1289.9487340234214</v>
      </c>
    </row>
    <row r="156" spans="1:10" ht="10.5">
      <c r="A156" s="90">
        <f t="shared" si="19"/>
        <v>98</v>
      </c>
      <c r="B156" s="91">
        <f>B155+31</f>
        <v>35516</v>
      </c>
      <c r="C156" s="92">
        <f>Plan9!I136</f>
        <v>194.583301500427</v>
      </c>
      <c r="D156" s="108">
        <v>18.585134</v>
      </c>
      <c r="E156" s="92">
        <f t="shared" si="14"/>
        <v>10.46983581073061</v>
      </c>
      <c r="F156" s="118">
        <v>52.868217</v>
      </c>
      <c r="G156" s="92">
        <f t="shared" si="18"/>
        <v>553.5215515960768</v>
      </c>
      <c r="H156" s="92">
        <v>132</v>
      </c>
      <c r="I156" s="92">
        <f t="shared" si="15"/>
        <v>730.6484481068214</v>
      </c>
      <c r="J156" s="92">
        <f t="shared" si="16"/>
        <v>1284.1699997028982</v>
      </c>
    </row>
    <row r="157" spans="1:10" ht="10.5">
      <c r="A157" s="90">
        <f t="shared" si="19"/>
        <v>99</v>
      </c>
      <c r="B157" s="91">
        <f>B156+30</f>
        <v>35546</v>
      </c>
      <c r="C157" s="92">
        <f>Plan9!I137</f>
        <v>194.583301500427</v>
      </c>
      <c r="D157" s="108">
        <v>18.711512</v>
      </c>
      <c r="E157" s="92">
        <f t="shared" si="14"/>
        <v>10.39912228901796</v>
      </c>
      <c r="F157" s="118">
        <v>52.868217</v>
      </c>
      <c r="G157" s="92">
        <f t="shared" si="18"/>
        <v>549.7830537853382</v>
      </c>
      <c r="H157" s="92">
        <v>132</v>
      </c>
      <c r="I157" s="92">
        <f t="shared" si="15"/>
        <v>725.7136309966464</v>
      </c>
      <c r="J157" s="92">
        <f t="shared" si="16"/>
        <v>1275.4966847819846</v>
      </c>
    </row>
    <row r="158" spans="1:10" ht="10.5">
      <c r="A158" s="90">
        <f t="shared" si="19"/>
        <v>100</v>
      </c>
      <c r="B158" s="91">
        <f>B157+31</f>
        <v>35577</v>
      </c>
      <c r="C158" s="92">
        <f>Plan9!I138</f>
        <v>194.583301500427</v>
      </c>
      <c r="D158" s="108">
        <v>18.823781</v>
      </c>
      <c r="E158" s="92">
        <f t="shared" si="14"/>
        <v>10.3370997304116</v>
      </c>
      <c r="F158" s="118">
        <v>52.868217</v>
      </c>
      <c r="G158" s="92">
        <f t="shared" si="18"/>
        <v>546.504031698042</v>
      </c>
      <c r="H158" s="92">
        <v>132</v>
      </c>
      <c r="I158" s="92">
        <f t="shared" si="15"/>
        <v>721.3853218414155</v>
      </c>
      <c r="J158" s="92">
        <f t="shared" si="16"/>
        <v>1267.8893535394575</v>
      </c>
    </row>
    <row r="159" spans="1:10" ht="10.5">
      <c r="A159" s="90">
        <f t="shared" si="19"/>
        <v>101</v>
      </c>
      <c r="B159" s="91">
        <f>B158+30</f>
        <v>35607</v>
      </c>
      <c r="C159" s="92">
        <f>Plan9!I139</f>
        <v>194.583301500427</v>
      </c>
      <c r="D159" s="108">
        <v>18.844487</v>
      </c>
      <c r="E159" s="92">
        <f t="shared" si="14"/>
        <v>10.325741502033301</v>
      </c>
      <c r="F159" s="118">
        <v>52.868217</v>
      </c>
      <c r="G159" s="92">
        <f t="shared" si="18"/>
        <v>545.9035424154025</v>
      </c>
      <c r="H159" s="92">
        <v>132</v>
      </c>
      <c r="I159" s="92">
        <f t="shared" si="15"/>
        <v>720.5926759883313</v>
      </c>
      <c r="J159" s="92">
        <f t="shared" si="16"/>
        <v>1266.4962184037338</v>
      </c>
    </row>
    <row r="160" spans="1:10" ht="10.5">
      <c r="A160" s="90">
        <f t="shared" si="19"/>
        <v>102</v>
      </c>
      <c r="B160" s="91">
        <f>B159+30</f>
        <v>35637</v>
      </c>
      <c r="C160" s="92">
        <f>Plan9!I140</f>
        <v>194.583301500427</v>
      </c>
      <c r="D160" s="108">
        <v>18.910442</v>
      </c>
      <c r="E160" s="92">
        <f t="shared" si="14"/>
        <v>10.289727839276681</v>
      </c>
      <c r="F160" s="118">
        <v>52.868217</v>
      </c>
      <c r="G160" s="92">
        <f t="shared" si="18"/>
        <v>543.9995642778207</v>
      </c>
      <c r="H160" s="92">
        <v>132</v>
      </c>
      <c r="I160" s="92">
        <f t="shared" si="15"/>
        <v>718.0794248467232</v>
      </c>
      <c r="J160" s="92">
        <f t="shared" si="16"/>
        <v>1262.078989124544</v>
      </c>
    </row>
    <row r="161" spans="1:10" ht="10.5">
      <c r="A161" s="90">
        <f>A160+1</f>
        <v>103</v>
      </c>
      <c r="B161" s="91">
        <f>B160+32</f>
        <v>35669</v>
      </c>
      <c r="C161" s="92">
        <f>Plan9!I141</f>
        <v>194.583301500427</v>
      </c>
      <c r="D161" s="108">
        <v>18.94448</v>
      </c>
      <c r="E161" s="92">
        <f t="shared" si="14"/>
        <v>10.271240039337423</v>
      </c>
      <c r="F161" s="118">
        <v>52.868217</v>
      </c>
      <c r="G161" s="92">
        <f t="shared" si="18"/>
        <v>543.0221472587795</v>
      </c>
      <c r="H161" s="92">
        <v>132</v>
      </c>
      <c r="I161" s="92">
        <f t="shared" si="15"/>
        <v>716.7892343815889</v>
      </c>
      <c r="J161" s="92">
        <f t="shared" si="16"/>
        <v>1259.8113816403684</v>
      </c>
    </row>
    <row r="162" spans="1:10" ht="10.5">
      <c r="A162" s="90">
        <f aca="true" t="shared" si="20" ref="A162:A170">A161+1</f>
        <v>104</v>
      </c>
      <c r="B162" s="91">
        <f>B161+31</f>
        <v>35700</v>
      </c>
      <c r="C162" s="92">
        <f>Plan9!I142</f>
        <v>194.583301500427</v>
      </c>
      <c r="D162" s="108">
        <v>18.938796</v>
      </c>
      <c r="E162" s="92">
        <f t="shared" si="14"/>
        <v>10.274322691919117</v>
      </c>
      <c r="F162" s="118">
        <v>52.868217</v>
      </c>
      <c r="G162" s="92">
        <f t="shared" si="18"/>
        <v>543.185121604404</v>
      </c>
      <c r="H162" s="92">
        <v>132</v>
      </c>
      <c r="I162" s="92">
        <f t="shared" si="15"/>
        <v>717.0043605178133</v>
      </c>
      <c r="J162" s="92">
        <f t="shared" si="16"/>
        <v>1260.1894821222172</v>
      </c>
    </row>
    <row r="163" spans="1:10" ht="10.5">
      <c r="A163" s="90">
        <f t="shared" si="20"/>
        <v>105</v>
      </c>
      <c r="B163" s="91">
        <f>B162+30</f>
        <v>35730</v>
      </c>
      <c r="C163" s="92">
        <f>Plan9!I143</f>
        <v>194.583301500427</v>
      </c>
      <c r="D163" s="108">
        <v>18.957734</v>
      </c>
      <c r="E163" s="92">
        <f t="shared" si="14"/>
        <v>10.26405906425457</v>
      </c>
      <c r="F163" s="118">
        <v>52.868217</v>
      </c>
      <c r="G163" s="92">
        <f t="shared" si="18"/>
        <v>542.6425019098275</v>
      </c>
      <c r="H163" s="92">
        <v>132</v>
      </c>
      <c r="I163" s="92">
        <f t="shared" si="15"/>
        <v>716.2881025209723</v>
      </c>
      <c r="J163" s="92">
        <f t="shared" si="16"/>
        <v>1258.9306044307998</v>
      </c>
    </row>
    <row r="164" spans="1:10" ht="10.5">
      <c r="A164" s="90">
        <f t="shared" si="20"/>
        <v>106</v>
      </c>
      <c r="B164" s="91">
        <f>B163+31</f>
        <v>35761</v>
      </c>
      <c r="C164" s="92">
        <f>Plan9!I144</f>
        <v>194.583301500427</v>
      </c>
      <c r="D164" s="108">
        <v>19.012711</v>
      </c>
      <c r="E164" s="92">
        <f t="shared" si="14"/>
        <v>10.234379594810388</v>
      </c>
      <c r="F164" s="118">
        <v>52.868217</v>
      </c>
      <c r="G164" s="92">
        <f t="shared" si="18"/>
        <v>541.0734012788076</v>
      </c>
      <c r="H164" s="92">
        <v>132</v>
      </c>
      <c r="I164" s="92">
        <f t="shared" si="15"/>
        <v>714.2168896880262</v>
      </c>
      <c r="J164" s="92">
        <f t="shared" si="16"/>
        <v>1255.2902909668337</v>
      </c>
    </row>
    <row r="165" spans="1:10" ht="10.5">
      <c r="A165" s="90">
        <f t="shared" si="20"/>
        <v>107</v>
      </c>
      <c r="B165" s="91">
        <f>B164+30</f>
        <v>35791</v>
      </c>
      <c r="C165" s="92">
        <f>Plan9!I145</f>
        <v>211.182055352629</v>
      </c>
      <c r="D165" s="108">
        <v>19.04123</v>
      </c>
      <c r="E165" s="92">
        <f t="shared" si="14"/>
        <v>11.090778030233814</v>
      </c>
      <c r="F165" s="118">
        <v>52.868217</v>
      </c>
      <c r="G165" s="92">
        <f t="shared" si="18"/>
        <v>586.3496596012338</v>
      </c>
      <c r="H165" s="92">
        <v>132</v>
      </c>
      <c r="I165" s="92">
        <f t="shared" si="15"/>
        <v>773.9815506736287</v>
      </c>
      <c r="J165" s="92">
        <f t="shared" si="16"/>
        <v>1360.3312102748625</v>
      </c>
    </row>
    <row r="166" spans="1:10" ht="10.5">
      <c r="A166" s="90">
        <f t="shared" si="20"/>
        <v>108</v>
      </c>
      <c r="B166" s="91">
        <f>B165+31</f>
        <v>35822</v>
      </c>
      <c r="C166" s="92">
        <f>Plan9!I146</f>
        <v>211.182055352629</v>
      </c>
      <c r="D166" s="108">
        <v>19.149765</v>
      </c>
      <c r="E166" s="92">
        <f t="shared" si="14"/>
        <v>11.027918898880953</v>
      </c>
      <c r="F166" s="118">
        <v>52.868217</v>
      </c>
      <c r="G166" s="92">
        <f t="shared" si="18"/>
        <v>583.0264094044393</v>
      </c>
      <c r="H166" s="92">
        <v>132</v>
      </c>
      <c r="I166" s="92">
        <f t="shared" si="15"/>
        <v>769.5948604138598</v>
      </c>
      <c r="J166" s="92">
        <f t="shared" si="16"/>
        <v>1352.621269818299</v>
      </c>
    </row>
    <row r="167" spans="1:10" ht="10.5">
      <c r="A167" s="90">
        <f t="shared" si="20"/>
        <v>109</v>
      </c>
      <c r="B167" s="91">
        <f>B166+31</f>
        <v>35853</v>
      </c>
      <c r="C167" s="92">
        <f>Plan9!I147</f>
        <v>211.182055352629</v>
      </c>
      <c r="D167" s="108">
        <v>19.312538</v>
      </c>
      <c r="E167" s="92">
        <f t="shared" si="14"/>
        <v>10.934971641356977</v>
      </c>
      <c r="F167" s="118">
        <v>52.868217</v>
      </c>
      <c r="G167" s="92">
        <f t="shared" si="18"/>
        <v>578.1124536241068</v>
      </c>
      <c r="H167" s="92">
        <v>132</v>
      </c>
      <c r="I167" s="92">
        <f t="shared" si="15"/>
        <v>763.108438783821</v>
      </c>
      <c r="J167" s="92">
        <f t="shared" si="16"/>
        <v>1341.2208924079277</v>
      </c>
    </row>
    <row r="168" spans="1:10" ht="10.5">
      <c r="A168" s="90">
        <f t="shared" si="20"/>
        <v>110</v>
      </c>
      <c r="B168" s="91">
        <f>B167+28</f>
        <v>35881</v>
      </c>
      <c r="C168" s="92">
        <f>Plan9!I148</f>
        <v>211.182055352629</v>
      </c>
      <c r="D168" s="108">
        <v>19.416825</v>
      </c>
      <c r="E168" s="92">
        <f t="shared" si="14"/>
        <v>10.87624034066481</v>
      </c>
      <c r="F168" s="118">
        <v>52.868217</v>
      </c>
      <c r="G168" s="92">
        <f t="shared" si="18"/>
        <v>575.0074344744211</v>
      </c>
      <c r="H168" s="92">
        <v>132</v>
      </c>
      <c r="I168" s="92">
        <f t="shared" si="15"/>
        <v>759.0098135062358</v>
      </c>
      <c r="J168" s="92">
        <f t="shared" si="16"/>
        <v>1334.017247980657</v>
      </c>
    </row>
    <row r="169" spans="1:10" ht="10.5">
      <c r="A169" s="90">
        <f t="shared" si="20"/>
        <v>111</v>
      </c>
      <c r="B169" s="91">
        <f>B168+31</f>
        <v>35912</v>
      </c>
      <c r="C169" s="92">
        <f>Plan9!I149</f>
        <v>211.182055352629</v>
      </c>
      <c r="D169" s="108">
        <v>19.511967</v>
      </c>
      <c r="E169" s="92">
        <f t="shared" si="14"/>
        <v>10.823206873639599</v>
      </c>
      <c r="F169" s="118">
        <v>52.868217</v>
      </c>
      <c r="G169" s="92">
        <f t="shared" si="18"/>
        <v>572.20364963147</v>
      </c>
      <c r="H169" s="92">
        <v>132</v>
      </c>
      <c r="I169" s="92">
        <f t="shared" si="15"/>
        <v>755.3088175135402</v>
      </c>
      <c r="J169" s="92">
        <f t="shared" si="16"/>
        <v>1327.5124671450103</v>
      </c>
    </row>
    <row r="170" spans="1:10" ht="10.5">
      <c r="A170" s="90">
        <f t="shared" si="20"/>
        <v>112</v>
      </c>
      <c r="B170" s="91">
        <f>B169+30</f>
        <v>35942</v>
      </c>
      <c r="C170" s="92">
        <f>Plan9!I150</f>
        <v>211.182055352629</v>
      </c>
      <c r="D170" s="108">
        <v>19.59977</v>
      </c>
      <c r="E170" s="92">
        <f t="shared" si="14"/>
        <v>10.77472109890213</v>
      </c>
      <c r="F170" s="118">
        <v>52.868217</v>
      </c>
      <c r="G170" s="92">
        <f t="shared" si="18"/>
        <v>569.6402931712363</v>
      </c>
      <c r="H170" s="92">
        <v>132</v>
      </c>
      <c r="I170" s="92">
        <f t="shared" si="15"/>
        <v>751.9251869860319</v>
      </c>
      <c r="J170" s="92">
        <f t="shared" si="16"/>
        <v>1321.5654801572682</v>
      </c>
    </row>
    <row r="172" spans="1:10" ht="10.5">
      <c r="A172" s="95"/>
      <c r="B172" s="96"/>
      <c r="C172" s="97"/>
      <c r="D172" s="97"/>
      <c r="E172" s="97">
        <f>SUM(E135:E171)</f>
        <v>331.70295017900264</v>
      </c>
      <c r="F172" s="97"/>
      <c r="G172" s="97">
        <f>SUM(G135:G171)</f>
        <v>17536.5435496037</v>
      </c>
      <c r="H172" s="97"/>
      <c r="I172" s="97">
        <f>SUM(I135:I171)</f>
        <v>23148.237485476882</v>
      </c>
      <c r="J172" s="97">
        <f>SUM(J135:J171)</f>
        <v>40684.78103508058</v>
      </c>
    </row>
    <row r="175" spans="1:10" ht="10.5">
      <c r="A175" s="63" t="s">
        <v>0</v>
      </c>
      <c r="J175" s="65" t="s">
        <v>150</v>
      </c>
    </row>
    <row r="176" spans="1:10" ht="10.5">
      <c r="A176" s="63" t="s">
        <v>40</v>
      </c>
      <c r="J176" s="65" t="s">
        <v>149</v>
      </c>
    </row>
    <row r="177" ht="10.5">
      <c r="A177" s="63"/>
    </row>
    <row r="178" spans="1:7" ht="10.5">
      <c r="A178" s="60" t="s">
        <v>3</v>
      </c>
      <c r="B178" s="60" t="s">
        <v>188</v>
      </c>
      <c r="D178" s="60"/>
      <c r="E178" s="60"/>
      <c r="F178" s="60"/>
      <c r="G178" s="60"/>
    </row>
    <row r="179" spans="1:7" ht="10.5">
      <c r="A179" s="60" t="s">
        <v>4</v>
      </c>
      <c r="B179" s="60" t="s">
        <v>188</v>
      </c>
      <c r="D179" s="60"/>
      <c r="E179" s="60"/>
      <c r="F179" s="60"/>
      <c r="G179" s="60"/>
    </row>
    <row r="180" ht="10.5">
      <c r="A180" s="60"/>
    </row>
    <row r="181" spans="1:5" ht="10.5">
      <c r="A181" s="60" t="s">
        <v>178</v>
      </c>
      <c r="B181" s="60"/>
      <c r="C181" s="60"/>
      <c r="D181" s="60"/>
      <c r="E181" s="60"/>
    </row>
    <row r="182" ht="10.5">
      <c r="C182" s="60" t="s">
        <v>89</v>
      </c>
    </row>
    <row r="183" ht="11.25" thickBot="1">
      <c r="E183" s="60"/>
    </row>
    <row r="184" spans="1:10" ht="11.25" thickTop="1">
      <c r="A184" s="82" t="s">
        <v>66</v>
      </c>
      <c r="B184" s="82" t="s">
        <v>5</v>
      </c>
      <c r="C184" s="82" t="s">
        <v>139</v>
      </c>
      <c r="D184" s="82" t="s">
        <v>151</v>
      </c>
      <c r="E184" s="82" t="s">
        <v>59</v>
      </c>
      <c r="F184" s="82" t="s">
        <v>151</v>
      </c>
      <c r="G184" s="82" t="s">
        <v>59</v>
      </c>
      <c r="H184" s="82" t="s">
        <v>158</v>
      </c>
      <c r="I184" s="82" t="s">
        <v>59</v>
      </c>
      <c r="J184" s="82" t="s">
        <v>59</v>
      </c>
    </row>
    <row r="185" spans="1:10" ht="10.5">
      <c r="A185" s="84" t="s">
        <v>64</v>
      </c>
      <c r="B185" s="84"/>
      <c r="C185" s="84" t="s">
        <v>143</v>
      </c>
      <c r="D185" s="84" t="s">
        <v>152</v>
      </c>
      <c r="E185" s="84" t="s">
        <v>34</v>
      </c>
      <c r="F185" s="84" t="s">
        <v>152</v>
      </c>
      <c r="G185" s="84" t="s">
        <v>152</v>
      </c>
      <c r="H185" s="84" t="s">
        <v>87</v>
      </c>
      <c r="I185" s="84" t="s">
        <v>87</v>
      </c>
      <c r="J185" s="84" t="s">
        <v>162</v>
      </c>
    </row>
    <row r="186" spans="1:10" ht="10.5">
      <c r="A186" s="84" t="s">
        <v>90</v>
      </c>
      <c r="B186" s="84"/>
      <c r="C186" s="84" t="s">
        <v>144</v>
      </c>
      <c r="D186" s="84" t="s">
        <v>153</v>
      </c>
      <c r="E186" s="84"/>
      <c r="F186" s="84" t="s">
        <v>153</v>
      </c>
      <c r="G186" s="84" t="s">
        <v>153</v>
      </c>
      <c r="H186" s="84" t="s">
        <v>64</v>
      </c>
      <c r="I186" s="84" t="s">
        <v>64</v>
      </c>
      <c r="J186" s="84" t="s">
        <v>152</v>
      </c>
    </row>
    <row r="187" spans="1:10" ht="10.5">
      <c r="A187" s="84"/>
      <c r="B187" s="84"/>
      <c r="C187" s="84" t="s">
        <v>140</v>
      </c>
      <c r="D187" s="84" t="s">
        <v>154</v>
      </c>
      <c r="E187" s="84"/>
      <c r="F187" s="84" t="s">
        <v>154</v>
      </c>
      <c r="G187" s="84"/>
      <c r="H187" s="84" t="s">
        <v>159</v>
      </c>
      <c r="I187" s="84" t="s">
        <v>159</v>
      </c>
      <c r="J187" s="84" t="s">
        <v>153</v>
      </c>
    </row>
    <row r="188" spans="1:10" ht="10.5">
      <c r="A188" s="84"/>
      <c r="B188" s="84"/>
      <c r="C188" s="84" t="s">
        <v>141</v>
      </c>
      <c r="D188" s="84" t="s">
        <v>155</v>
      </c>
      <c r="E188" s="84"/>
      <c r="F188" s="84" t="s">
        <v>157</v>
      </c>
      <c r="G188" s="84" t="s">
        <v>157</v>
      </c>
      <c r="H188" s="84" t="s">
        <v>160</v>
      </c>
      <c r="I188" s="84" t="s">
        <v>157</v>
      </c>
      <c r="J188" s="84" t="s">
        <v>163</v>
      </c>
    </row>
    <row r="189" spans="1:10" ht="10.5">
      <c r="A189" s="84"/>
      <c r="B189" s="84"/>
      <c r="C189" s="84" t="s">
        <v>145</v>
      </c>
      <c r="D189" s="84" t="s">
        <v>156</v>
      </c>
      <c r="E189" s="84"/>
      <c r="F189" s="116">
        <v>41698</v>
      </c>
      <c r="G189" s="116">
        <v>41698</v>
      </c>
      <c r="H189" s="84" t="s">
        <v>161</v>
      </c>
      <c r="I189" s="116">
        <v>41698</v>
      </c>
      <c r="J189" s="84" t="s">
        <v>159</v>
      </c>
    </row>
    <row r="190" spans="1:10" ht="10.5">
      <c r="A190" s="84"/>
      <c r="B190" s="84"/>
      <c r="C190" s="84" t="s">
        <v>142</v>
      </c>
      <c r="D190" s="84"/>
      <c r="E190" s="84"/>
      <c r="F190" s="84"/>
      <c r="G190" s="84"/>
      <c r="H190" s="116">
        <v>37663</v>
      </c>
      <c r="I190" s="84"/>
      <c r="J190" s="84" t="s">
        <v>157</v>
      </c>
    </row>
    <row r="191" spans="1:10" ht="11.25" thickBot="1">
      <c r="A191" s="86"/>
      <c r="B191" s="86"/>
      <c r="C191" s="86" t="s">
        <v>11</v>
      </c>
      <c r="D191" s="86"/>
      <c r="E191" s="86"/>
      <c r="F191" s="86"/>
      <c r="G191" s="86"/>
      <c r="H191" s="86" t="s">
        <v>164</v>
      </c>
      <c r="I191" s="86"/>
      <c r="J191" s="117"/>
    </row>
    <row r="192" ht="11.25" thickTop="1"/>
    <row r="193" spans="1:10" ht="10.5">
      <c r="A193" s="90">
        <f>A170+1</f>
        <v>113</v>
      </c>
      <c r="B193" s="91">
        <f>B170+31</f>
        <v>35973</v>
      </c>
      <c r="C193" s="92">
        <f>Plan9!I166</f>
        <v>211.182055352629</v>
      </c>
      <c r="D193" s="64">
        <v>19.740888</v>
      </c>
      <c r="E193" s="92">
        <f aca="true" t="shared" si="21" ref="E193:E217">C193/D193</f>
        <v>10.697697862053063</v>
      </c>
      <c r="F193" s="118">
        <v>52.868217</v>
      </c>
      <c r="G193" s="92">
        <f aca="true" t="shared" si="22" ref="G193:G217">E193*F193</f>
        <v>565.5682119714575</v>
      </c>
      <c r="H193" s="92">
        <v>132</v>
      </c>
      <c r="I193" s="92">
        <f aca="true" t="shared" si="23" ref="I193:I217">G193*H193/100</f>
        <v>746.5500398023239</v>
      </c>
      <c r="J193" s="92">
        <f aca="true" t="shared" si="24" ref="J193:J217">G193+I193</f>
        <v>1312.1182517737814</v>
      </c>
    </row>
    <row r="194" spans="1:10" ht="10.5">
      <c r="A194" s="90">
        <f aca="true" t="shared" si="25" ref="A194:A200">A193+1</f>
        <v>114</v>
      </c>
      <c r="B194" s="91">
        <f>B193+30</f>
        <v>36003</v>
      </c>
      <c r="C194" s="92">
        <f>Plan9!I167</f>
        <v>211.182055352629</v>
      </c>
      <c r="D194" s="108">
        <v>19.770499</v>
      </c>
      <c r="E194" s="92">
        <f t="shared" si="21"/>
        <v>10.681675528403657</v>
      </c>
      <c r="F194" s="118">
        <v>52.868217</v>
      </c>
      <c r="G194" s="92">
        <f t="shared" si="22"/>
        <v>564.7211397592342</v>
      </c>
      <c r="H194" s="92">
        <v>132</v>
      </c>
      <c r="I194" s="92">
        <f t="shared" si="23"/>
        <v>745.4319044821891</v>
      </c>
      <c r="J194" s="92">
        <f t="shared" si="24"/>
        <v>1310.1530442414232</v>
      </c>
    </row>
    <row r="195" spans="1:10" ht="10.5">
      <c r="A195" s="90">
        <f t="shared" si="25"/>
        <v>115</v>
      </c>
      <c r="B195" s="91">
        <f>B194+31</f>
        <v>36034</v>
      </c>
      <c r="C195" s="92">
        <f>Plan9!I168</f>
        <v>211.182055352629</v>
      </c>
      <c r="D195" s="108">
        <v>19.715141</v>
      </c>
      <c r="E195" s="92">
        <f t="shared" si="21"/>
        <v>10.711668526876323</v>
      </c>
      <c r="F195" s="118">
        <v>52.868217</v>
      </c>
      <c r="G195" s="92">
        <f t="shared" si="22"/>
        <v>566.3068161109678</v>
      </c>
      <c r="H195" s="92">
        <v>132</v>
      </c>
      <c r="I195" s="92">
        <f t="shared" si="23"/>
        <v>747.5249972664776</v>
      </c>
      <c r="J195" s="92">
        <f t="shared" si="24"/>
        <v>1313.8318133774455</v>
      </c>
    </row>
    <row r="196" spans="1:10" ht="10.5">
      <c r="A196" s="90">
        <f t="shared" si="25"/>
        <v>116</v>
      </c>
      <c r="B196" s="91">
        <f>B195+31</f>
        <v>36065</v>
      </c>
      <c r="C196" s="92">
        <f>Plan9!I169</f>
        <v>211.182055352629</v>
      </c>
      <c r="D196" s="108">
        <v>19.618536</v>
      </c>
      <c r="E196" s="92">
        <f t="shared" si="21"/>
        <v>10.764414600183674</v>
      </c>
      <c r="F196" s="118">
        <v>52.868217</v>
      </c>
      <c r="G196" s="92">
        <f t="shared" si="22"/>
        <v>569.0954069604787</v>
      </c>
      <c r="H196" s="92">
        <v>132</v>
      </c>
      <c r="I196" s="92">
        <f t="shared" si="23"/>
        <v>751.2059371878319</v>
      </c>
      <c r="J196" s="92">
        <f t="shared" si="24"/>
        <v>1320.3013441483106</v>
      </c>
    </row>
    <row r="197" spans="1:10" ht="10.5">
      <c r="A197" s="90">
        <f t="shared" si="25"/>
        <v>117</v>
      </c>
      <c r="B197" s="91">
        <f>B196+30</f>
        <v>36095</v>
      </c>
      <c r="C197" s="92">
        <f>Plan9!I170</f>
        <v>211.182055352629</v>
      </c>
      <c r="D197" s="108">
        <v>19.557718</v>
      </c>
      <c r="E197" s="92">
        <f t="shared" si="21"/>
        <v>10.797888350401053</v>
      </c>
      <c r="F197" s="118">
        <v>52.868217</v>
      </c>
      <c r="G197" s="92">
        <f t="shared" si="22"/>
        <v>570.8651044507749</v>
      </c>
      <c r="H197" s="92">
        <v>132</v>
      </c>
      <c r="I197" s="92">
        <f t="shared" si="23"/>
        <v>753.5419378750229</v>
      </c>
      <c r="J197" s="92">
        <f t="shared" si="24"/>
        <v>1324.4070423257976</v>
      </c>
    </row>
    <row r="198" spans="1:10" ht="10.5">
      <c r="A198" s="90">
        <f t="shared" si="25"/>
        <v>118</v>
      </c>
      <c r="B198" s="91">
        <f>B197+31</f>
        <v>36126</v>
      </c>
      <c r="C198" s="92">
        <f>Plan9!I171</f>
        <v>211.182055352629</v>
      </c>
      <c r="D198" s="108">
        <v>19.579231</v>
      </c>
      <c r="E198" s="92">
        <f t="shared" si="21"/>
        <v>10.78602399413077</v>
      </c>
      <c r="F198" s="118">
        <v>52.868217</v>
      </c>
      <c r="G198" s="92">
        <f t="shared" si="22"/>
        <v>570.2378570889123</v>
      </c>
      <c r="H198" s="92">
        <v>132</v>
      </c>
      <c r="I198" s="92">
        <f t="shared" si="23"/>
        <v>752.7139713573642</v>
      </c>
      <c r="J198" s="92">
        <f t="shared" si="24"/>
        <v>1322.9518284462765</v>
      </c>
    </row>
    <row r="199" spans="1:10" ht="10.5">
      <c r="A199" s="90">
        <f t="shared" si="25"/>
        <v>119</v>
      </c>
      <c r="B199" s="91">
        <f>B198+30</f>
        <v>36156</v>
      </c>
      <c r="C199" s="92">
        <f>Plan9!I172</f>
        <v>240.44302091732987</v>
      </c>
      <c r="D199" s="108">
        <v>19.543988</v>
      </c>
      <c r="E199" s="92">
        <f t="shared" si="21"/>
        <v>12.302659053890633</v>
      </c>
      <c r="F199" s="118">
        <v>52.868217</v>
      </c>
      <c r="G199" s="92">
        <f t="shared" si="22"/>
        <v>650.4196485381046</v>
      </c>
      <c r="H199" s="92">
        <v>132</v>
      </c>
      <c r="I199" s="92">
        <f t="shared" si="23"/>
        <v>858.553936070298</v>
      </c>
      <c r="J199" s="92">
        <f t="shared" si="24"/>
        <v>1508.9735846084027</v>
      </c>
    </row>
    <row r="200" spans="1:10" ht="10.5">
      <c r="A200" s="90">
        <f t="shared" si="25"/>
        <v>120</v>
      </c>
      <c r="B200" s="91">
        <f>B199+31</f>
        <v>36187</v>
      </c>
      <c r="C200" s="92">
        <f>Plan9!I173</f>
        <v>240.44302091732987</v>
      </c>
      <c r="D200" s="108">
        <v>19.626072</v>
      </c>
      <c r="E200" s="92">
        <f t="shared" si="21"/>
        <v>12.251204465026413</v>
      </c>
      <c r="F200" s="118">
        <v>52.868217</v>
      </c>
      <c r="G200" s="92">
        <f t="shared" si="22"/>
        <v>647.6993361683853</v>
      </c>
      <c r="H200" s="92">
        <v>132</v>
      </c>
      <c r="I200" s="92">
        <f t="shared" si="23"/>
        <v>854.9631237422686</v>
      </c>
      <c r="J200" s="92">
        <f t="shared" si="24"/>
        <v>1502.662459910654</v>
      </c>
    </row>
    <row r="201" spans="1:10" ht="10.5">
      <c r="A201" s="90">
        <f aca="true" t="shared" si="26" ref="A201:A211">A200+1</f>
        <v>121</v>
      </c>
      <c r="B201" s="91">
        <f>B200+31</f>
        <v>36218</v>
      </c>
      <c r="C201" s="92">
        <f>Plan9!I174</f>
        <v>240.44302091732987</v>
      </c>
      <c r="D201" s="108">
        <v>19.753641</v>
      </c>
      <c r="E201" s="92">
        <f t="shared" si="21"/>
        <v>12.172086195012348</v>
      </c>
      <c r="F201" s="118">
        <v>52.868217</v>
      </c>
      <c r="G201" s="92">
        <f t="shared" si="22"/>
        <v>643.5164943006172</v>
      </c>
      <c r="H201" s="92">
        <v>132</v>
      </c>
      <c r="I201" s="92">
        <f t="shared" si="23"/>
        <v>849.4417724768147</v>
      </c>
      <c r="J201" s="92">
        <f t="shared" si="24"/>
        <v>1492.9582667774318</v>
      </c>
    </row>
    <row r="202" spans="1:10" ht="10.5">
      <c r="A202" s="90">
        <f t="shared" si="26"/>
        <v>122</v>
      </c>
      <c r="B202" s="91">
        <f>B201+28</f>
        <v>36246</v>
      </c>
      <c r="C202" s="92">
        <f>Plan9!I175</f>
        <v>240.44302091732987</v>
      </c>
      <c r="D202" s="108">
        <v>20.008462</v>
      </c>
      <c r="E202" s="92">
        <f t="shared" si="21"/>
        <v>12.017066624977465</v>
      </c>
      <c r="F202" s="118">
        <v>52.868217</v>
      </c>
      <c r="G202" s="92">
        <f t="shared" si="22"/>
        <v>635.3208860327662</v>
      </c>
      <c r="H202" s="92">
        <v>132</v>
      </c>
      <c r="I202" s="92">
        <f t="shared" si="23"/>
        <v>838.6235695632514</v>
      </c>
      <c r="J202" s="92">
        <f t="shared" si="24"/>
        <v>1473.9444555960176</v>
      </c>
    </row>
    <row r="203" spans="1:10" ht="10.5">
      <c r="A203" s="90">
        <f t="shared" si="26"/>
        <v>123</v>
      </c>
      <c r="B203" s="91">
        <f>B202+31</f>
        <v>36277</v>
      </c>
      <c r="C203" s="92">
        <f>Plan9!I176</f>
        <v>240.44302091732987</v>
      </c>
      <c r="D203" s="108">
        <v>20.26457</v>
      </c>
      <c r="E203" s="92">
        <f t="shared" si="21"/>
        <v>11.865192348879344</v>
      </c>
      <c r="F203" s="118">
        <v>52.868217</v>
      </c>
      <c r="G203" s="92">
        <f t="shared" si="22"/>
        <v>627.2915638472929</v>
      </c>
      <c r="H203" s="92">
        <v>132</v>
      </c>
      <c r="I203" s="92">
        <f t="shared" si="23"/>
        <v>828.0248642784265</v>
      </c>
      <c r="J203" s="92">
        <f t="shared" si="24"/>
        <v>1455.3164281257195</v>
      </c>
    </row>
    <row r="204" spans="1:10" ht="10.5">
      <c r="A204" s="90">
        <f t="shared" si="26"/>
        <v>124</v>
      </c>
      <c r="B204" s="91">
        <f>B203+30</f>
        <v>36307</v>
      </c>
      <c r="C204" s="92">
        <f>Plan9!I177</f>
        <v>240.44302091732987</v>
      </c>
      <c r="D204" s="108">
        <v>20.359813</v>
      </c>
      <c r="E204" s="92">
        <f t="shared" si="21"/>
        <v>11.809687098664899</v>
      </c>
      <c r="F204" s="118">
        <v>52.868217</v>
      </c>
      <c r="G204" s="92">
        <f t="shared" si="22"/>
        <v>624.3571002343162</v>
      </c>
      <c r="H204" s="92">
        <v>132</v>
      </c>
      <c r="I204" s="92">
        <f t="shared" si="23"/>
        <v>824.1513723092975</v>
      </c>
      <c r="J204" s="92">
        <f t="shared" si="24"/>
        <v>1448.5084725436136</v>
      </c>
    </row>
    <row r="205" spans="1:10" ht="10.5">
      <c r="A205" s="90">
        <f t="shared" si="26"/>
        <v>125</v>
      </c>
      <c r="B205" s="91">
        <f>B204+31</f>
        <v>36338</v>
      </c>
      <c r="C205" s="92">
        <f>Plan9!I178</f>
        <v>240.44302091732987</v>
      </c>
      <c r="D205" s="108">
        <v>20.369992</v>
      </c>
      <c r="E205" s="92">
        <f t="shared" si="21"/>
        <v>11.803785731350796</v>
      </c>
      <c r="F205" s="118">
        <v>52.868217</v>
      </c>
      <c r="G205" s="92">
        <f t="shared" si="22"/>
        <v>624.0451054665576</v>
      </c>
      <c r="H205" s="92">
        <v>132</v>
      </c>
      <c r="I205" s="92">
        <f t="shared" si="23"/>
        <v>823.7395392158561</v>
      </c>
      <c r="J205" s="92">
        <f t="shared" si="24"/>
        <v>1447.7846446824137</v>
      </c>
    </row>
    <row r="206" spans="1:10" ht="10.5">
      <c r="A206" s="90">
        <f t="shared" si="26"/>
        <v>126</v>
      </c>
      <c r="B206" s="91">
        <f>B205+30</f>
        <v>36368</v>
      </c>
      <c r="C206" s="92">
        <f>Plan9!I179</f>
        <v>240.44302091732987</v>
      </c>
      <c r="D206" s="108">
        <v>20.28425</v>
      </c>
      <c r="E206" s="92">
        <f t="shared" si="21"/>
        <v>11.85368061019411</v>
      </c>
      <c r="F206" s="118">
        <v>52.868217</v>
      </c>
      <c r="G206" s="92">
        <f t="shared" si="22"/>
        <v>626.6829587484345</v>
      </c>
      <c r="H206" s="92">
        <v>132</v>
      </c>
      <c r="I206" s="92">
        <f t="shared" si="23"/>
        <v>827.2215055479336</v>
      </c>
      <c r="J206" s="92">
        <f t="shared" si="24"/>
        <v>1453.9044642963681</v>
      </c>
    </row>
    <row r="207" spans="1:10" ht="10.5">
      <c r="A207" s="90">
        <f t="shared" si="26"/>
        <v>127</v>
      </c>
      <c r="B207" s="91">
        <f>B206+31</f>
        <v>36399</v>
      </c>
      <c r="C207" s="92">
        <f>Plan9!I180</f>
        <v>240.44302091732987</v>
      </c>
      <c r="D207" s="108">
        <v>20.535093</v>
      </c>
      <c r="E207" s="92">
        <f t="shared" si="21"/>
        <v>11.708883953792169</v>
      </c>
      <c r="F207" s="118">
        <v>52.868217</v>
      </c>
      <c r="G207" s="92">
        <f t="shared" si="22"/>
        <v>619.0278176969024</v>
      </c>
      <c r="H207" s="92">
        <v>132</v>
      </c>
      <c r="I207" s="92">
        <f t="shared" si="23"/>
        <v>817.1167193599113</v>
      </c>
      <c r="J207" s="92">
        <f t="shared" si="24"/>
        <v>1436.1445370568135</v>
      </c>
    </row>
    <row r="208" spans="1:10" ht="10.5">
      <c r="A208" s="90">
        <f t="shared" si="26"/>
        <v>128</v>
      </c>
      <c r="B208" s="91">
        <f>B207+31</f>
        <v>36430</v>
      </c>
      <c r="C208" s="92">
        <f>Plan9!I181</f>
        <v>240.44302091732987</v>
      </c>
      <c r="D208" s="108">
        <v>20.648036</v>
      </c>
      <c r="E208" s="92">
        <f t="shared" si="21"/>
        <v>11.644837354861734</v>
      </c>
      <c r="F208" s="118">
        <v>52.868217</v>
      </c>
      <c r="G208" s="92">
        <f t="shared" si="22"/>
        <v>615.6417882065361</v>
      </c>
      <c r="H208" s="92">
        <v>132</v>
      </c>
      <c r="I208" s="92">
        <f t="shared" si="23"/>
        <v>812.6471604326277</v>
      </c>
      <c r="J208" s="92">
        <f t="shared" si="24"/>
        <v>1428.288948639164</v>
      </c>
    </row>
    <row r="209" spans="1:10" ht="10.5">
      <c r="A209" s="90">
        <f t="shared" si="26"/>
        <v>129</v>
      </c>
      <c r="B209" s="91">
        <f>B208+30</f>
        <v>36460</v>
      </c>
      <c r="C209" s="92">
        <f>Plan9!I182</f>
        <v>240.44302091732987</v>
      </c>
      <c r="D209" s="108">
        <v>20.728563</v>
      </c>
      <c r="E209" s="92">
        <f t="shared" si="21"/>
        <v>11.59959910956345</v>
      </c>
      <c r="F209" s="118">
        <v>52.868217</v>
      </c>
      <c r="G209" s="92">
        <f t="shared" si="22"/>
        <v>613.2501228374073</v>
      </c>
      <c r="H209" s="92">
        <v>132</v>
      </c>
      <c r="I209" s="92">
        <f t="shared" si="23"/>
        <v>809.4901621453776</v>
      </c>
      <c r="J209" s="92">
        <f t="shared" si="24"/>
        <v>1422.740284982785</v>
      </c>
    </row>
    <row r="210" spans="1:10" ht="10.5">
      <c r="A210" s="90">
        <f t="shared" si="26"/>
        <v>130</v>
      </c>
      <c r="B210" s="91">
        <f>B209+31</f>
        <v>36491</v>
      </c>
      <c r="C210" s="92">
        <f>Plan9!I183</f>
        <v>240.44302091732987</v>
      </c>
      <c r="D210" s="108">
        <v>20.924557</v>
      </c>
      <c r="E210" s="92">
        <f t="shared" si="21"/>
        <v>11.490949171221637</v>
      </c>
      <c r="F210" s="118">
        <v>52.868217</v>
      </c>
      <c r="G210" s="92">
        <f t="shared" si="22"/>
        <v>607.5059943201156</v>
      </c>
      <c r="H210" s="92">
        <v>132</v>
      </c>
      <c r="I210" s="92">
        <f t="shared" si="23"/>
        <v>801.9079125025527</v>
      </c>
      <c r="J210" s="92">
        <f t="shared" si="24"/>
        <v>1409.4139068226682</v>
      </c>
    </row>
    <row r="211" spans="1:10" ht="10.5">
      <c r="A211" s="90">
        <f t="shared" si="26"/>
        <v>131</v>
      </c>
      <c r="B211" s="91">
        <f>B210+30</f>
        <v>36521</v>
      </c>
      <c r="C211" s="92">
        <f>Plan9!I184</f>
        <v>256.38234568634107</v>
      </c>
      <c r="D211" s="108">
        <v>21.124276</v>
      </c>
      <c r="E211" s="92">
        <f t="shared" si="21"/>
        <v>12.136858356061106</v>
      </c>
      <c r="F211" s="118">
        <v>52.868217</v>
      </c>
      <c r="G211" s="92">
        <f t="shared" si="22"/>
        <v>641.6540612665018</v>
      </c>
      <c r="H211" s="92">
        <v>132</v>
      </c>
      <c r="I211" s="92">
        <f t="shared" si="23"/>
        <v>846.9833608717823</v>
      </c>
      <c r="J211" s="92">
        <f t="shared" si="24"/>
        <v>1488.6374221382841</v>
      </c>
    </row>
    <row r="212" spans="1:10" ht="10.5">
      <c r="A212" s="90">
        <f aca="true" t="shared" si="27" ref="A212:A217">A211+1</f>
        <v>132</v>
      </c>
      <c r="B212" s="91">
        <f>B211+31</f>
        <v>36552</v>
      </c>
      <c r="C212" s="92">
        <f>Plan9!I185</f>
        <v>256.38234568634107</v>
      </c>
      <c r="D212" s="108">
        <v>21.280595</v>
      </c>
      <c r="E212" s="92">
        <f t="shared" si="21"/>
        <v>12.047705700256081</v>
      </c>
      <c r="F212" s="118">
        <v>52.868217</v>
      </c>
      <c r="G212" s="92">
        <f t="shared" si="22"/>
        <v>636.9407193132755</v>
      </c>
      <c r="H212" s="92">
        <v>132</v>
      </c>
      <c r="I212" s="92">
        <f t="shared" si="23"/>
        <v>840.7617494935237</v>
      </c>
      <c r="J212" s="92">
        <f t="shared" si="24"/>
        <v>1477.702468806799</v>
      </c>
    </row>
    <row r="213" spans="1:10" ht="10.5">
      <c r="A213" s="90">
        <f t="shared" si="27"/>
        <v>133</v>
      </c>
      <c r="B213" s="91">
        <f>B212+31</f>
        <v>36583</v>
      </c>
      <c r="C213" s="92">
        <f>Plan9!I186</f>
        <v>256.38234568634107</v>
      </c>
      <c r="D213" s="108">
        <v>21.410406</v>
      </c>
      <c r="E213" s="92">
        <f t="shared" si="21"/>
        <v>11.974660624667328</v>
      </c>
      <c r="F213" s="118">
        <v>52.868217</v>
      </c>
      <c r="G213" s="92">
        <f t="shared" si="22"/>
        <v>633.0789564062678</v>
      </c>
      <c r="H213" s="92">
        <v>132</v>
      </c>
      <c r="I213" s="92">
        <f t="shared" si="23"/>
        <v>835.6642224562736</v>
      </c>
      <c r="J213" s="92">
        <f t="shared" si="24"/>
        <v>1468.7431788625413</v>
      </c>
    </row>
    <row r="214" spans="1:10" ht="10.5">
      <c r="A214" s="90">
        <f t="shared" si="27"/>
        <v>134</v>
      </c>
      <c r="B214" s="91">
        <f>B213+29</f>
        <v>36612</v>
      </c>
      <c r="C214" s="92">
        <f>Plan9!I187</f>
        <v>232.5923456863411</v>
      </c>
      <c r="D214" s="108">
        <v>21.421111</v>
      </c>
      <c r="E214" s="92">
        <f t="shared" si="21"/>
        <v>10.858089745501113</v>
      </c>
      <c r="F214" s="118">
        <v>52.868217</v>
      </c>
      <c r="G214" s="92">
        <f t="shared" si="22"/>
        <v>574.0478448706276</v>
      </c>
      <c r="H214" s="92">
        <v>132</v>
      </c>
      <c r="I214" s="92">
        <f t="shared" si="23"/>
        <v>757.7431552292285</v>
      </c>
      <c r="J214" s="92">
        <f t="shared" si="24"/>
        <v>1331.791000099856</v>
      </c>
    </row>
    <row r="215" spans="1:10" ht="10.5">
      <c r="A215" s="90">
        <f t="shared" si="27"/>
        <v>135</v>
      </c>
      <c r="B215" s="91">
        <f>B214+31</f>
        <v>36643</v>
      </c>
      <c r="C215" s="92">
        <f>Plan9!I188</f>
        <v>232.5923456863411</v>
      </c>
      <c r="D215" s="119">
        <v>21.448958</v>
      </c>
      <c r="E215" s="92">
        <f t="shared" si="21"/>
        <v>10.843992779805019</v>
      </c>
      <c r="F215" s="118">
        <v>52.868217</v>
      </c>
      <c r="G215" s="92">
        <f t="shared" si="22"/>
        <v>573.3025634291649</v>
      </c>
      <c r="H215" s="92">
        <v>132</v>
      </c>
      <c r="I215" s="92">
        <f t="shared" si="23"/>
        <v>756.7593837264977</v>
      </c>
      <c r="J215" s="92">
        <f t="shared" si="24"/>
        <v>1330.0619471556627</v>
      </c>
    </row>
    <row r="216" spans="1:10" ht="10.5">
      <c r="A216" s="90">
        <f t="shared" si="27"/>
        <v>136</v>
      </c>
      <c r="B216" s="91">
        <f>B215+30</f>
        <v>36673</v>
      </c>
      <c r="C216" s="92">
        <f>Plan9!I189</f>
        <v>232.5923456863411</v>
      </c>
      <c r="D216" s="108">
        <v>21.468262</v>
      </c>
      <c r="E216" s="92">
        <f t="shared" si="21"/>
        <v>10.834241993429236</v>
      </c>
      <c r="F216" s="118">
        <v>52.868217</v>
      </c>
      <c r="G216" s="92">
        <f t="shared" si="22"/>
        <v>572.7870567391294</v>
      </c>
      <c r="H216" s="92">
        <v>132</v>
      </c>
      <c r="I216" s="92">
        <f t="shared" si="23"/>
        <v>756.0789148956508</v>
      </c>
      <c r="J216" s="92">
        <f t="shared" si="24"/>
        <v>1328.8659716347802</v>
      </c>
    </row>
    <row r="217" spans="1:10" ht="10.5">
      <c r="A217" s="90">
        <f t="shared" si="27"/>
        <v>137</v>
      </c>
      <c r="B217" s="91">
        <f>B216+31</f>
        <v>36704</v>
      </c>
      <c r="C217" s="92">
        <f>Plan9!I190</f>
        <v>232.5923456863411</v>
      </c>
      <c r="D217" s="108">
        <v>21.457527</v>
      </c>
      <c r="E217" s="92">
        <f t="shared" si="21"/>
        <v>10.839662263332634</v>
      </c>
      <c r="F217" s="118">
        <v>52.868217</v>
      </c>
      <c r="G217" s="92">
        <f t="shared" si="22"/>
        <v>573.0736167445809</v>
      </c>
      <c r="H217" s="92">
        <v>132</v>
      </c>
      <c r="I217" s="92">
        <f t="shared" si="23"/>
        <v>756.4571741028468</v>
      </c>
      <c r="J217" s="92">
        <f t="shared" si="24"/>
        <v>1329.5307908474279</v>
      </c>
    </row>
    <row r="218" spans="1:10" ht="10.5">
      <c r="A218" s="90"/>
      <c r="B218" s="91"/>
      <c r="C218" s="92"/>
      <c r="D218" s="92"/>
      <c r="E218" s="92"/>
      <c r="F218" s="93"/>
      <c r="G218" s="92"/>
      <c r="H218" s="92"/>
      <c r="I218" s="92"/>
      <c r="J218" s="92"/>
    </row>
    <row r="219" spans="1:10" ht="10.5">
      <c r="A219" s="95"/>
      <c r="B219" s="96"/>
      <c r="C219" s="97"/>
      <c r="D219" s="97"/>
      <c r="E219" s="97">
        <f>SUM(E193:E218)</f>
        <v>286.4942120425361</v>
      </c>
      <c r="F219" s="97"/>
      <c r="G219" s="97">
        <f>SUM(G193:G218)</f>
        <v>15146.438171508807</v>
      </c>
      <c r="H219" s="97"/>
      <c r="I219" s="97">
        <f>SUM(I193:I218)</f>
        <v>19993.298386391627</v>
      </c>
      <c r="J219" s="97">
        <f>SUM(J193:J218)</f>
        <v>35139.73655790044</v>
      </c>
    </row>
    <row r="221" spans="1:10" ht="10.5">
      <c r="A221" s="95" t="s">
        <v>165</v>
      </c>
      <c r="B221" s="96"/>
      <c r="C221" s="97"/>
      <c r="D221" s="97"/>
      <c r="E221" s="97">
        <f>E58+E115+E172+E219</f>
        <v>784.4056594850202</v>
      </c>
      <c r="F221" s="97"/>
      <c r="G221" s="97">
        <f>G58+G115+G172+G219</f>
        <v>41470.12862168215</v>
      </c>
      <c r="H221" s="97"/>
      <c r="I221" s="97">
        <f>I58+I115+I172+I219</f>
        <v>54740.56978062044</v>
      </c>
      <c r="J221" s="97">
        <f>J58+J115+J172+J219</f>
        <v>96210.6984023026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9.140625" style="64" customWidth="1"/>
    <col min="2" max="2" width="2.28125" style="64" customWidth="1"/>
    <col min="3" max="3" width="9.140625" style="64" customWidth="1"/>
    <col min="4" max="4" width="23.28125" style="64" customWidth="1"/>
    <col min="5" max="5" width="17.00390625" style="64" customWidth="1"/>
    <col min="6" max="6" width="9.140625" style="64" customWidth="1"/>
    <col min="7" max="7" width="13.8515625" style="64" customWidth="1"/>
    <col min="8" max="8" width="2.140625" style="64" customWidth="1"/>
    <col min="9" max="16384" width="9.140625" style="64" customWidth="1"/>
  </cols>
  <sheetData>
    <row r="1" spans="1:9" ht="10.5">
      <c r="A1" s="63"/>
      <c r="G1" s="65" t="s">
        <v>173</v>
      </c>
      <c r="I1" s="65"/>
    </row>
    <row r="2" spans="1:9" ht="10.5">
      <c r="A2" s="63"/>
      <c r="G2" s="65" t="s">
        <v>2</v>
      </c>
      <c r="I2" s="65"/>
    </row>
    <row r="3" spans="1:8" ht="10.5">
      <c r="A3" s="63"/>
      <c r="H3" s="65"/>
    </row>
    <row r="4" spans="1:8" ht="10.5">
      <c r="A4" s="60" t="s">
        <v>3</v>
      </c>
      <c r="C4" s="60" t="s">
        <v>188</v>
      </c>
      <c r="D4" s="60"/>
      <c r="E4" s="60"/>
      <c r="H4" s="65"/>
    </row>
    <row r="5" spans="1:8" ht="10.5">
      <c r="A5" s="60" t="s">
        <v>4</v>
      </c>
      <c r="C5" s="60" t="s">
        <v>188</v>
      </c>
      <c r="D5" s="60"/>
      <c r="E5" s="60"/>
      <c r="H5" s="65"/>
    </row>
    <row r="6" spans="1:8" ht="10.5">
      <c r="A6" s="60"/>
      <c r="H6" s="60"/>
    </row>
    <row r="7" spans="1:3" ht="10.5">
      <c r="A7" s="60"/>
      <c r="C7" s="60" t="s">
        <v>189</v>
      </c>
    </row>
    <row r="8" ht="10.5">
      <c r="A8" s="60"/>
    </row>
    <row r="9" spans="1:7" ht="10.5">
      <c r="A9" s="60"/>
      <c r="B9" s="60"/>
      <c r="C9" s="60"/>
      <c r="D9" s="60"/>
      <c r="E9" s="60"/>
      <c r="F9" s="60"/>
      <c r="G9" s="60"/>
    </row>
    <row r="11" spans="2:8" ht="10.5">
      <c r="B11" s="138" t="s">
        <v>19</v>
      </c>
      <c r="C11" s="138"/>
      <c r="D11" s="138"/>
      <c r="E11" s="138"/>
      <c r="F11" s="138"/>
      <c r="G11" s="138"/>
      <c r="H11" s="138"/>
    </row>
    <row r="12" spans="2:8" ht="10.5">
      <c r="B12" s="23"/>
      <c r="C12" s="24"/>
      <c r="D12" s="24"/>
      <c r="E12" s="25"/>
      <c r="F12" s="25"/>
      <c r="G12" s="25"/>
      <c r="H12" s="23"/>
    </row>
    <row r="13" spans="2:8" ht="10.5">
      <c r="B13" s="23"/>
      <c r="C13" s="23"/>
      <c r="D13" s="23"/>
      <c r="E13" s="23"/>
      <c r="F13" s="26"/>
      <c r="G13" s="23"/>
      <c r="H13" s="23"/>
    </row>
    <row r="14" spans="2:8" ht="10.5">
      <c r="B14" s="27"/>
      <c r="C14" s="28"/>
      <c r="D14" s="28"/>
      <c r="E14" s="28"/>
      <c r="F14" s="29"/>
      <c r="G14" s="28"/>
      <c r="H14" s="120"/>
    </row>
    <row r="15" spans="2:8" ht="10.5">
      <c r="B15" s="30"/>
      <c r="C15" s="31" t="s">
        <v>20</v>
      </c>
      <c r="D15" s="31"/>
      <c r="E15" s="32"/>
      <c r="F15" s="33"/>
      <c r="G15" s="34" t="s">
        <v>21</v>
      </c>
      <c r="H15" s="121"/>
    </row>
    <row r="16" spans="2:8" ht="10.5">
      <c r="B16" s="30"/>
      <c r="C16" s="32"/>
      <c r="D16" s="32"/>
      <c r="E16" s="32"/>
      <c r="F16" s="35"/>
      <c r="G16" s="36" t="s">
        <v>22</v>
      </c>
      <c r="H16" s="121"/>
    </row>
    <row r="17" spans="2:8" ht="10.5">
      <c r="B17" s="30"/>
      <c r="C17" s="32"/>
      <c r="D17" s="32"/>
      <c r="E17" s="32"/>
      <c r="F17" s="35"/>
      <c r="G17" s="36"/>
      <c r="H17" s="121"/>
    </row>
    <row r="18" spans="2:8" ht="10.5">
      <c r="B18" s="30"/>
      <c r="C18" s="32"/>
      <c r="D18" s="122"/>
      <c r="E18" s="123"/>
      <c r="F18" s="123"/>
      <c r="G18" s="124"/>
      <c r="H18" s="121"/>
    </row>
    <row r="19" spans="2:8" ht="10.5">
      <c r="B19" s="30"/>
      <c r="C19" s="32" t="s">
        <v>35</v>
      </c>
      <c r="D19" s="125" t="s">
        <v>34</v>
      </c>
      <c r="E19" s="126"/>
      <c r="F19" s="42" t="s">
        <v>25</v>
      </c>
      <c r="G19" s="127">
        <f>Plan10!E221</f>
        <v>784.4056594850202</v>
      </c>
      <c r="H19" s="121"/>
    </row>
    <row r="20" spans="2:8" ht="10.5">
      <c r="B20" s="30"/>
      <c r="C20" s="32" t="s">
        <v>23</v>
      </c>
      <c r="D20" s="125" t="s">
        <v>166</v>
      </c>
      <c r="E20" s="126"/>
      <c r="F20" s="42" t="s">
        <v>25</v>
      </c>
      <c r="G20" s="127">
        <f>Plan10!G221-G19</f>
        <v>40685.722962197135</v>
      </c>
      <c r="H20" s="121"/>
    </row>
    <row r="21" spans="2:8" ht="10.5">
      <c r="B21" s="30"/>
      <c r="C21" s="32" t="s">
        <v>169</v>
      </c>
      <c r="D21" s="122" t="s">
        <v>24</v>
      </c>
      <c r="E21" s="128"/>
      <c r="F21" s="42" t="s">
        <v>25</v>
      </c>
      <c r="G21" s="129">
        <f>Plan10!I221</f>
        <v>54740.56978062044</v>
      </c>
      <c r="H21" s="121"/>
    </row>
    <row r="22" spans="2:8" ht="10.5">
      <c r="B22" s="30"/>
      <c r="C22" s="37"/>
      <c r="D22" s="37"/>
      <c r="E22" s="37"/>
      <c r="F22" s="38"/>
      <c r="G22" s="38"/>
      <c r="H22" s="121"/>
    </row>
    <row r="23" spans="2:8" ht="10.5">
      <c r="B23" s="30"/>
      <c r="C23" s="39"/>
      <c r="D23" s="40" t="s">
        <v>167</v>
      </c>
      <c r="E23" s="41"/>
      <c r="F23" s="42" t="s">
        <v>25</v>
      </c>
      <c r="G23" s="130">
        <f>SUM(G19:G22)</f>
        <v>96210.6984023026</v>
      </c>
      <c r="H23" s="121"/>
    </row>
    <row r="24" spans="2:8" ht="10.5">
      <c r="B24" s="30"/>
      <c r="C24" s="43"/>
      <c r="D24" s="40" t="s">
        <v>168</v>
      </c>
      <c r="E24" s="32"/>
      <c r="F24" s="44"/>
      <c r="G24" s="59"/>
      <c r="H24" s="121"/>
    </row>
    <row r="25" spans="2:8" ht="10.5">
      <c r="B25" s="30"/>
      <c r="C25" s="43" t="s">
        <v>170</v>
      </c>
      <c r="D25" s="40" t="s">
        <v>171</v>
      </c>
      <c r="E25" s="32"/>
      <c r="F25" s="42" t="s">
        <v>25</v>
      </c>
      <c r="G25" s="131">
        <f>G23*20/100</f>
        <v>19242.139680460517</v>
      </c>
      <c r="H25" s="121"/>
    </row>
    <row r="26" spans="2:8" ht="10.5">
      <c r="B26" s="30"/>
      <c r="C26" s="43"/>
      <c r="D26" s="40"/>
      <c r="E26" s="32"/>
      <c r="F26" s="44"/>
      <c r="G26" s="58"/>
      <c r="H26" s="121"/>
    </row>
    <row r="27" spans="2:8" ht="10.5">
      <c r="B27" s="30"/>
      <c r="C27" s="43"/>
      <c r="D27" s="40" t="s">
        <v>172</v>
      </c>
      <c r="E27" s="32"/>
      <c r="F27" s="42" t="s">
        <v>25</v>
      </c>
      <c r="G27" s="132">
        <f>SUM(G23:G26)</f>
        <v>115452.83808276312</v>
      </c>
      <c r="H27" s="121"/>
    </row>
    <row r="28" spans="2:8" ht="10.5">
      <c r="B28" s="45"/>
      <c r="C28" s="46"/>
      <c r="D28" s="46"/>
      <c r="E28" s="47"/>
      <c r="F28" s="38"/>
      <c r="G28" s="48"/>
      <c r="H28" s="133"/>
    </row>
    <row r="30" spans="2:10" ht="10.5">
      <c r="B30" s="60"/>
      <c r="J30" s="99"/>
    </row>
    <row r="31" spans="2:10" ht="10.5">
      <c r="B31" s="60"/>
      <c r="J31" s="99"/>
    </row>
    <row r="32" spans="2:10" ht="10.5">
      <c r="B32" s="60"/>
      <c r="J32" s="110"/>
    </row>
    <row r="33" spans="2:10" ht="10.5">
      <c r="B33" s="60"/>
      <c r="H33" s="60"/>
      <c r="J33" s="99"/>
    </row>
    <row r="34" ht="10.5">
      <c r="D34" s="60" t="s">
        <v>0</v>
      </c>
    </row>
    <row r="35" ht="10.5">
      <c r="D35" s="64" t="s">
        <v>31</v>
      </c>
    </row>
  </sheetData>
  <sheetProtection/>
  <mergeCells count="1">
    <mergeCell ref="B11:H11"/>
  </mergeCells>
  <printOptions/>
  <pageMargins left="0.65" right="0.511811024" top="0.94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A2"/>
    </sheetView>
  </sheetViews>
  <sheetFormatPr defaultColWidth="10.7109375" defaultRowHeight="12" customHeight="1"/>
  <cols>
    <col min="1" max="16384" width="10.7109375" style="64" customWidth="1"/>
  </cols>
  <sheetData>
    <row r="1" spans="1:9" ht="12" customHeight="1">
      <c r="A1" s="63"/>
      <c r="I1" s="65" t="s">
        <v>18</v>
      </c>
    </row>
    <row r="2" spans="1:9" ht="12" customHeight="1">
      <c r="A2" s="63"/>
      <c r="I2" s="65" t="s">
        <v>2</v>
      </c>
    </row>
    <row r="3" ht="12" customHeight="1">
      <c r="A3" s="63"/>
    </row>
    <row r="4" spans="1:4" ht="12" customHeight="1">
      <c r="A4" s="137" t="s">
        <v>183</v>
      </c>
      <c r="B4" s="137"/>
      <c r="C4" s="137"/>
      <c r="D4" s="137"/>
    </row>
    <row r="5" spans="1:4" ht="12" customHeight="1">
      <c r="A5" s="137" t="s">
        <v>184</v>
      </c>
      <c r="B5" s="137"/>
      <c r="C5" s="137"/>
      <c r="D5" s="137"/>
    </row>
    <row r="6" spans="1:4" ht="12" customHeight="1">
      <c r="A6" s="137" t="s">
        <v>185</v>
      </c>
      <c r="B6" s="137"/>
      <c r="C6" s="137"/>
      <c r="D6" s="137"/>
    </row>
    <row r="7" spans="1:4" ht="12" customHeight="1">
      <c r="A7" s="137" t="s">
        <v>186</v>
      </c>
      <c r="B7" s="137"/>
      <c r="C7" s="137"/>
      <c r="D7" s="137"/>
    </row>
    <row r="8" spans="1:4" ht="12" customHeight="1">
      <c r="A8" s="137" t="s">
        <v>187</v>
      </c>
      <c r="B8" s="137"/>
      <c r="C8" s="137"/>
      <c r="D8" s="137"/>
    </row>
    <row r="19" spans="4:7" ht="12" customHeight="1">
      <c r="D19" s="60" t="s">
        <v>106</v>
      </c>
      <c r="E19" s="60"/>
      <c r="F19" s="60"/>
      <c r="G19" s="60"/>
    </row>
    <row r="21" ht="12" customHeight="1">
      <c r="E21" s="60" t="s">
        <v>107</v>
      </c>
    </row>
    <row r="23" spans="4:7" ht="12" customHeight="1">
      <c r="D23" s="60" t="s">
        <v>108</v>
      </c>
      <c r="E23" s="60"/>
      <c r="F23" s="60"/>
      <c r="G23" s="60"/>
    </row>
  </sheetData>
  <sheetProtection/>
  <mergeCells count="5">
    <mergeCell ref="A4:D4"/>
    <mergeCell ref="A5:D5"/>
    <mergeCell ref="A6:D6"/>
    <mergeCell ref="A7:D7"/>
    <mergeCell ref="A8:D8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A1" sqref="A1:IV16384"/>
    </sheetView>
  </sheetViews>
  <sheetFormatPr defaultColWidth="10.7109375" defaultRowHeight="12" customHeight="1"/>
  <cols>
    <col min="1" max="2" width="10.7109375" style="64" customWidth="1"/>
    <col min="3" max="3" width="13.57421875" style="64" customWidth="1"/>
    <col min="4" max="8" width="10.7109375" style="64" customWidth="1"/>
    <col min="9" max="9" width="12.28125" style="64" customWidth="1"/>
    <col min="10" max="16384" width="10.7109375" style="64" customWidth="1"/>
  </cols>
  <sheetData>
    <row r="1" spans="1:9" ht="12" customHeight="1">
      <c r="A1" s="63"/>
      <c r="I1" s="65" t="s">
        <v>83</v>
      </c>
    </row>
    <row r="2" spans="1:9" ht="12" customHeight="1">
      <c r="A2" s="63"/>
      <c r="I2" s="65" t="s">
        <v>2</v>
      </c>
    </row>
    <row r="3" spans="1:9" ht="12" customHeight="1">
      <c r="A3" s="63"/>
      <c r="I3" s="65"/>
    </row>
    <row r="4" spans="1:9" ht="12" customHeight="1">
      <c r="A4" s="137" t="s">
        <v>179</v>
      </c>
      <c r="B4" s="137"/>
      <c r="C4" s="137"/>
      <c r="D4" s="137"/>
      <c r="I4" s="60"/>
    </row>
    <row r="5" spans="1:4" ht="12" customHeight="1">
      <c r="A5" s="137" t="s">
        <v>180</v>
      </c>
      <c r="B5" s="137"/>
      <c r="C5" s="137"/>
      <c r="D5" s="137"/>
    </row>
    <row r="6" ht="12" customHeight="1">
      <c r="A6" s="60"/>
    </row>
    <row r="7" spans="1:3" ht="12" customHeight="1">
      <c r="A7" s="60"/>
      <c r="B7" s="60"/>
      <c r="C7" s="60" t="s">
        <v>109</v>
      </c>
    </row>
    <row r="8" spans="1:2" ht="12" customHeight="1">
      <c r="A8" s="60"/>
      <c r="B8" s="60"/>
    </row>
    <row r="9" ht="12" customHeight="1">
      <c r="D9" s="60" t="s">
        <v>89</v>
      </c>
    </row>
    <row r="10" ht="12" customHeight="1" thickBot="1"/>
    <row r="11" spans="1:11" ht="12" customHeight="1" thickBot="1" thickTop="1">
      <c r="A11" s="82" t="s">
        <v>66</v>
      </c>
      <c r="B11" s="82" t="s">
        <v>5</v>
      </c>
      <c r="C11" s="82" t="s">
        <v>85</v>
      </c>
      <c r="D11" s="83" t="s">
        <v>59</v>
      </c>
      <c r="E11" s="82" t="s">
        <v>103</v>
      </c>
      <c r="F11" s="82" t="s">
        <v>104</v>
      </c>
      <c r="G11" s="82" t="s">
        <v>26</v>
      </c>
      <c r="H11" s="82" t="s">
        <v>67</v>
      </c>
      <c r="I11" s="82" t="s">
        <v>119</v>
      </c>
      <c r="K11" s="82" t="s">
        <v>67</v>
      </c>
    </row>
    <row r="12" spans="1:11" ht="12" customHeight="1" thickTop="1">
      <c r="A12" s="84" t="s">
        <v>64</v>
      </c>
      <c r="B12" s="84"/>
      <c r="C12" s="84" t="s">
        <v>86</v>
      </c>
      <c r="D12" s="84"/>
      <c r="E12" s="84"/>
      <c r="F12" s="84"/>
      <c r="G12" s="84"/>
      <c r="H12" s="84" t="s">
        <v>114</v>
      </c>
      <c r="I12" s="84" t="s">
        <v>118</v>
      </c>
      <c r="K12" s="84" t="s">
        <v>120</v>
      </c>
    </row>
    <row r="13" spans="1:11" ht="12" customHeight="1">
      <c r="A13" s="84" t="s">
        <v>90</v>
      </c>
      <c r="B13" s="84"/>
      <c r="C13" s="84" t="s">
        <v>113</v>
      </c>
      <c r="D13" s="85" t="s">
        <v>60</v>
      </c>
      <c r="E13" s="102">
        <v>0.089</v>
      </c>
      <c r="F13" s="84"/>
      <c r="G13" s="84" t="s">
        <v>27</v>
      </c>
      <c r="H13" s="84" t="s">
        <v>116</v>
      </c>
      <c r="I13" s="84" t="s">
        <v>110</v>
      </c>
      <c r="K13" s="84" t="s">
        <v>85</v>
      </c>
    </row>
    <row r="14" spans="1:11" ht="12" customHeight="1" thickBot="1">
      <c r="A14" s="86"/>
      <c r="B14" s="86"/>
      <c r="C14" s="86" t="s">
        <v>11</v>
      </c>
      <c r="D14" s="87"/>
      <c r="E14" s="86" t="s">
        <v>11</v>
      </c>
      <c r="F14" s="86" t="s">
        <v>11</v>
      </c>
      <c r="G14" s="86" t="s">
        <v>11</v>
      </c>
      <c r="H14" s="86" t="s">
        <v>117</v>
      </c>
      <c r="I14" s="86" t="s">
        <v>11</v>
      </c>
      <c r="K14" s="86" t="s">
        <v>86</v>
      </c>
    </row>
    <row r="15" ht="12" customHeight="1" thickTop="1"/>
    <row r="16" spans="1:11" ht="12" customHeight="1">
      <c r="A16" s="90">
        <v>0</v>
      </c>
      <c r="B16" s="91">
        <v>32535</v>
      </c>
      <c r="C16" s="103">
        <v>15432</v>
      </c>
      <c r="D16" s="93">
        <v>0</v>
      </c>
      <c r="E16" s="92"/>
      <c r="F16" s="92"/>
      <c r="G16" s="92"/>
      <c r="H16" s="94">
        <v>1</v>
      </c>
      <c r="I16" s="92">
        <f>(C16*K16)-G16+E16</f>
        <v>15432</v>
      </c>
      <c r="K16" s="94">
        <v>1</v>
      </c>
    </row>
    <row r="17" spans="1:11" ht="12" customHeight="1">
      <c r="A17" s="90">
        <f>A16+1</f>
        <v>1</v>
      </c>
      <c r="B17" s="91">
        <v>32566</v>
      </c>
      <c r="C17" s="92">
        <f>I16</f>
        <v>15432</v>
      </c>
      <c r="D17" s="93">
        <v>65.28</v>
      </c>
      <c r="E17" s="92">
        <f>I16*0.0089</f>
        <v>137.3448</v>
      </c>
      <c r="F17" s="92">
        <f>G17-D17-E17</f>
        <v>32.045199999999994</v>
      </c>
      <c r="G17" s="92">
        <v>234.67</v>
      </c>
      <c r="H17" s="94">
        <v>1</v>
      </c>
      <c r="I17" s="92">
        <f aca="true" t="shared" si="0" ref="I17:I55">(C17*K17)-G17+E17</f>
        <v>17962.790696000004</v>
      </c>
      <c r="K17" s="94">
        <v>1.170303</v>
      </c>
    </row>
    <row r="18" spans="1:11" ht="12" customHeight="1">
      <c r="A18" s="90">
        <f aca="true" t="shared" si="1" ref="A18:A28">A17+1</f>
        <v>2</v>
      </c>
      <c r="B18" s="91">
        <f>B17+28</f>
        <v>32594</v>
      </c>
      <c r="C18" s="92">
        <f aca="true" t="shared" si="2" ref="C18:C28">I17</f>
        <v>17962.790696000004</v>
      </c>
      <c r="D18" s="93">
        <v>32.04</v>
      </c>
      <c r="E18" s="92">
        <f aca="true" t="shared" si="3" ref="E18:E53">I17*0.0089</f>
        <v>159.86883719440004</v>
      </c>
      <c r="F18" s="92">
        <f aca="true" t="shared" si="4" ref="F18:F28">G18-D18-E18</f>
        <v>10.121162805599965</v>
      </c>
      <c r="G18" s="92">
        <v>202.03</v>
      </c>
      <c r="H18" s="94">
        <v>1</v>
      </c>
      <c r="I18" s="92">
        <f t="shared" si="0"/>
        <v>21587.535663085153</v>
      </c>
      <c r="K18" s="94">
        <v>1.204139</v>
      </c>
    </row>
    <row r="19" spans="1:11" ht="12" customHeight="1">
      <c r="A19" s="90">
        <f t="shared" si="1"/>
        <v>3</v>
      </c>
      <c r="B19" s="91">
        <f>B18+31</f>
        <v>32625</v>
      </c>
      <c r="C19" s="92">
        <f t="shared" si="2"/>
        <v>21587.535663085153</v>
      </c>
      <c r="D19" s="93">
        <v>32.04</v>
      </c>
      <c r="E19" s="92">
        <f t="shared" si="3"/>
        <v>192.12906740145786</v>
      </c>
      <c r="F19" s="92">
        <f t="shared" si="4"/>
        <v>-22.13906740145785</v>
      </c>
      <c r="G19" s="92">
        <v>202.03</v>
      </c>
      <c r="H19" s="94">
        <v>1</v>
      </c>
      <c r="I19" s="92">
        <f t="shared" si="0"/>
        <v>24064.130263232084</v>
      </c>
      <c r="K19" s="94">
        <v>1.115182</v>
      </c>
    </row>
    <row r="20" spans="1:11" ht="12" customHeight="1">
      <c r="A20" s="90">
        <f t="shared" si="1"/>
        <v>4</v>
      </c>
      <c r="B20" s="91">
        <f>B19+30</f>
        <v>32655</v>
      </c>
      <c r="C20" s="92">
        <f t="shared" si="2"/>
        <v>24064.130263232084</v>
      </c>
      <c r="D20" s="93">
        <v>32.04</v>
      </c>
      <c r="E20" s="92">
        <f t="shared" si="3"/>
        <v>214.17075934276554</v>
      </c>
      <c r="F20" s="92">
        <f t="shared" si="4"/>
        <v>-44.180759342765526</v>
      </c>
      <c r="G20" s="92">
        <v>202.03</v>
      </c>
      <c r="H20" s="94">
        <v>1</v>
      </c>
      <c r="I20" s="92">
        <f t="shared" si="0"/>
        <v>26714.51787985404</v>
      </c>
      <c r="K20" s="94">
        <v>1.109634</v>
      </c>
    </row>
    <row r="21" spans="1:11" ht="12" customHeight="1">
      <c r="A21" s="90">
        <f t="shared" si="1"/>
        <v>5</v>
      </c>
      <c r="B21" s="91">
        <f>B20+31</f>
        <v>32686</v>
      </c>
      <c r="C21" s="92">
        <f t="shared" si="2"/>
        <v>26714.51787985404</v>
      </c>
      <c r="D21" s="93">
        <v>35.53</v>
      </c>
      <c r="E21" s="92">
        <f t="shared" si="3"/>
        <v>237.75920913070095</v>
      </c>
      <c r="F21" s="92">
        <f t="shared" si="4"/>
        <v>-53.349209130700956</v>
      </c>
      <c r="G21" s="92">
        <v>219.94</v>
      </c>
      <c r="H21" s="94">
        <f>184.41/169.39</f>
        <v>1.0886711139972844</v>
      </c>
      <c r="I21" s="92">
        <f t="shared" si="0"/>
        <v>29387.76016624223</v>
      </c>
      <c r="K21" s="94">
        <v>1.0994</v>
      </c>
    </row>
    <row r="22" spans="1:11" ht="12" customHeight="1">
      <c r="A22" s="90">
        <f t="shared" si="1"/>
        <v>6</v>
      </c>
      <c r="B22" s="91">
        <f>B21+30</f>
        <v>32716</v>
      </c>
      <c r="C22" s="92">
        <f t="shared" si="2"/>
        <v>29387.76016624223</v>
      </c>
      <c r="D22" s="93">
        <v>35.53</v>
      </c>
      <c r="E22" s="92">
        <f t="shared" si="3"/>
        <v>261.55106547955586</v>
      </c>
      <c r="F22" s="92">
        <f t="shared" si="4"/>
        <v>-77.14106547955586</v>
      </c>
      <c r="G22" s="92">
        <v>219.94</v>
      </c>
      <c r="H22" s="94">
        <v>1</v>
      </c>
      <c r="I22" s="92">
        <f t="shared" si="0"/>
        <v>36726.352080999735</v>
      </c>
      <c r="K22" s="94">
        <v>1.2483</v>
      </c>
    </row>
    <row r="23" spans="1:11" ht="12" customHeight="1">
      <c r="A23" s="90">
        <f t="shared" si="1"/>
        <v>7</v>
      </c>
      <c r="B23" s="91">
        <f>B22+31</f>
        <v>32747</v>
      </c>
      <c r="C23" s="92">
        <f t="shared" si="2"/>
        <v>36726.352080999735</v>
      </c>
      <c r="D23" s="93">
        <v>39.04</v>
      </c>
      <c r="E23" s="92">
        <f t="shared" si="3"/>
        <v>326.8645335208976</v>
      </c>
      <c r="F23" s="92">
        <f t="shared" si="4"/>
        <v>-124.18453352089762</v>
      </c>
      <c r="G23" s="92">
        <v>241.72</v>
      </c>
      <c r="H23" s="94">
        <f>202.68/184.41</f>
        <v>1.0990727183992193</v>
      </c>
      <c r="I23" s="92">
        <f t="shared" si="0"/>
        <v>47373.99547301616</v>
      </c>
      <c r="K23" s="94">
        <v>1.2876</v>
      </c>
    </row>
    <row r="24" spans="1:11" ht="12" customHeight="1">
      <c r="A24" s="90">
        <f t="shared" si="1"/>
        <v>8</v>
      </c>
      <c r="B24" s="91">
        <f>B23+31</f>
        <v>32778</v>
      </c>
      <c r="C24" s="92">
        <f t="shared" si="2"/>
        <v>47373.99547301616</v>
      </c>
      <c r="D24" s="93">
        <v>39.04</v>
      </c>
      <c r="E24" s="92">
        <f t="shared" si="3"/>
        <v>421.62855970984384</v>
      </c>
      <c r="F24" s="92">
        <f t="shared" si="4"/>
        <v>-218.94855970984383</v>
      </c>
      <c r="G24" s="92">
        <v>241.72</v>
      </c>
      <c r="H24" s="94">
        <v>1</v>
      </c>
      <c r="I24" s="92">
        <f t="shared" si="0"/>
        <v>61453.434304508955</v>
      </c>
      <c r="K24" s="94">
        <v>1.2934</v>
      </c>
    </row>
    <row r="25" spans="1:11" ht="12" customHeight="1">
      <c r="A25" s="90">
        <f t="shared" si="1"/>
        <v>9</v>
      </c>
      <c r="B25" s="91">
        <f>B24+30</f>
        <v>32808</v>
      </c>
      <c r="C25" s="92">
        <f t="shared" si="2"/>
        <v>61453.434304508955</v>
      </c>
      <c r="D25" s="93">
        <v>74.01</v>
      </c>
      <c r="E25" s="92">
        <f t="shared" si="3"/>
        <v>546.9355653101297</v>
      </c>
      <c r="F25" s="92">
        <f t="shared" si="4"/>
        <v>-162.61556531012974</v>
      </c>
      <c r="G25" s="92">
        <v>458.33</v>
      </c>
      <c r="H25" s="94">
        <f>384.32/202.68</f>
        <v>1.8961910400631536</v>
      </c>
      <c r="I25" s="92">
        <f t="shared" si="0"/>
        <v>83634.54950229004</v>
      </c>
      <c r="K25" s="94">
        <v>1.3595</v>
      </c>
    </row>
    <row r="26" spans="1:11" ht="12" customHeight="1">
      <c r="A26" s="90">
        <f t="shared" si="1"/>
        <v>10</v>
      </c>
      <c r="B26" s="91">
        <f>B25+31</f>
        <v>32839</v>
      </c>
      <c r="C26" s="92">
        <f t="shared" si="2"/>
        <v>83634.54950229004</v>
      </c>
      <c r="D26" s="93">
        <v>91.16</v>
      </c>
      <c r="E26" s="92">
        <f t="shared" si="3"/>
        <v>744.3474905703814</v>
      </c>
      <c r="F26" s="92">
        <f t="shared" si="4"/>
        <v>-270.94749057038143</v>
      </c>
      <c r="G26" s="92">
        <v>564.56</v>
      </c>
      <c r="H26" s="94">
        <f>473.4/384.32</f>
        <v>1.2317860116569526</v>
      </c>
      <c r="I26" s="92">
        <f t="shared" si="0"/>
        <v>115277.65451562195</v>
      </c>
      <c r="K26" s="94">
        <v>1.3762</v>
      </c>
    </row>
    <row r="27" spans="1:11" ht="12" customHeight="1">
      <c r="A27" s="90">
        <f t="shared" si="1"/>
        <v>11</v>
      </c>
      <c r="B27" s="91">
        <f>B26+30</f>
        <v>32869</v>
      </c>
      <c r="C27" s="92">
        <f t="shared" si="2"/>
        <v>115277.65451562195</v>
      </c>
      <c r="D27" s="93">
        <v>118.02</v>
      </c>
      <c r="E27" s="92">
        <f t="shared" si="3"/>
        <v>1025.9711251890353</v>
      </c>
      <c r="F27" s="92">
        <f t="shared" si="4"/>
        <v>-413.03112518903527</v>
      </c>
      <c r="G27" s="92">
        <v>730.96</v>
      </c>
      <c r="H27" s="94">
        <f>612.94/473.4</f>
        <v>1.2947613012251797</v>
      </c>
      <c r="I27" s="92">
        <f t="shared" si="0"/>
        <v>163320.6701411816</v>
      </c>
      <c r="K27" s="94">
        <v>1.4142</v>
      </c>
    </row>
    <row r="28" spans="1:11" ht="12" customHeight="1">
      <c r="A28" s="90">
        <f t="shared" si="1"/>
        <v>12</v>
      </c>
      <c r="B28" s="91">
        <f>B27+31</f>
        <v>32900</v>
      </c>
      <c r="C28" s="92">
        <f t="shared" si="2"/>
        <v>163320.6701411816</v>
      </c>
      <c r="D28" s="93">
        <v>296.77</v>
      </c>
      <c r="E28" s="92">
        <f t="shared" si="3"/>
        <v>1453.553964256516</v>
      </c>
      <c r="F28" s="92">
        <f t="shared" si="4"/>
        <v>87.77603574348382</v>
      </c>
      <c r="G28" s="92">
        <v>1838.1</v>
      </c>
      <c r="H28" s="94">
        <f>1541.33/612.94</f>
        <v>2.5146506999053737</v>
      </c>
      <c r="I28" s="92">
        <f t="shared" si="0"/>
        <v>250394.34296604086</v>
      </c>
      <c r="K28" s="94">
        <v>1.5355</v>
      </c>
    </row>
    <row r="29" spans="1:11" ht="12" customHeight="1">
      <c r="A29" s="90">
        <f>A28+1</f>
        <v>13</v>
      </c>
      <c r="B29" s="91">
        <f>B27+62</f>
        <v>32931</v>
      </c>
      <c r="C29" s="92">
        <f>I28</f>
        <v>250394.34296604086</v>
      </c>
      <c r="D29" s="93">
        <v>399.7</v>
      </c>
      <c r="E29" s="92">
        <f t="shared" si="3"/>
        <v>2228.5096523977636</v>
      </c>
      <c r="F29" s="92">
        <f aca="true" t="shared" si="5" ref="F29:F40">G29-D29-E29</f>
        <v>-152.55965239776333</v>
      </c>
      <c r="G29" s="92">
        <v>2475.65</v>
      </c>
      <c r="H29" s="94">
        <f>2075.95/1541.33</f>
        <v>1.3468562864539066</v>
      </c>
      <c r="I29" s="92">
        <f t="shared" si="0"/>
        <v>390643.4684566841</v>
      </c>
      <c r="K29" s="94">
        <v>1.5611</v>
      </c>
    </row>
    <row r="30" spans="1:11" ht="12" customHeight="1">
      <c r="A30" s="90">
        <f aca="true" t="shared" si="6" ref="A30:A40">A29+1</f>
        <v>14</v>
      </c>
      <c r="B30" s="91">
        <f>B29+28</f>
        <v>32959</v>
      </c>
      <c r="C30" s="92">
        <f aca="true" t="shared" si="7" ref="C30:C40">I29</f>
        <v>390643.4684566841</v>
      </c>
      <c r="D30" s="93">
        <v>584.51</v>
      </c>
      <c r="E30" s="92">
        <f t="shared" si="3"/>
        <v>3476.7268692644884</v>
      </c>
      <c r="F30" s="92">
        <f t="shared" si="5"/>
        <v>-440.9068692644887</v>
      </c>
      <c r="G30" s="92">
        <v>3620.33</v>
      </c>
      <c r="H30" s="94">
        <f>3035.82/2075.95</f>
        <v>1.4623762614706521</v>
      </c>
      <c r="I30" s="92">
        <f t="shared" si="0"/>
        <v>674810.1816687234</v>
      </c>
      <c r="K30" s="94">
        <v>1.7278</v>
      </c>
    </row>
    <row r="31" spans="1:11" ht="12" customHeight="1">
      <c r="A31" s="90">
        <f t="shared" si="6"/>
        <v>15</v>
      </c>
      <c r="B31" s="91">
        <f>B30+31</f>
        <v>32990</v>
      </c>
      <c r="C31" s="92">
        <f t="shared" si="7"/>
        <v>674810.1816687234</v>
      </c>
      <c r="D31" s="93">
        <v>1005.99</v>
      </c>
      <c r="E31" s="92">
        <f t="shared" si="3"/>
        <v>6005.810616851638</v>
      </c>
      <c r="F31" s="92">
        <f t="shared" si="5"/>
        <v>-780.8306168516374</v>
      </c>
      <c r="G31" s="92">
        <v>6230.97</v>
      </c>
      <c r="H31" s="94">
        <f>5224.98/3035.82</f>
        <v>1.7211099472300726</v>
      </c>
      <c r="I31" s="92">
        <f t="shared" si="0"/>
        <v>1243584.9674686424</v>
      </c>
      <c r="K31" s="94">
        <v>1.8432</v>
      </c>
    </row>
    <row r="32" spans="1:11" ht="12" customHeight="1">
      <c r="A32" s="90">
        <f t="shared" si="6"/>
        <v>16</v>
      </c>
      <c r="B32" s="91">
        <f>B31+30</f>
        <v>33020</v>
      </c>
      <c r="C32" s="92">
        <f t="shared" si="7"/>
        <v>1243584.9674686424</v>
      </c>
      <c r="D32" s="93">
        <v>1738.14</v>
      </c>
      <c r="E32" s="92">
        <f t="shared" si="3"/>
        <v>11067.906210470917</v>
      </c>
      <c r="F32" s="92">
        <f t="shared" si="5"/>
        <v>-2040.1862104709162</v>
      </c>
      <c r="G32" s="92">
        <v>10765.86</v>
      </c>
      <c r="H32" s="94">
        <f>9027.72/5224.98</f>
        <v>1.727799915023598</v>
      </c>
      <c r="I32" s="92">
        <f t="shared" si="0"/>
        <v>1243887.0136791132</v>
      </c>
      <c r="K32" s="94">
        <v>1</v>
      </c>
    </row>
    <row r="33" spans="1:11" ht="12" customHeight="1">
      <c r="A33" s="90">
        <f t="shared" si="6"/>
        <v>17</v>
      </c>
      <c r="B33" s="91">
        <f>B32+31</f>
        <v>33051</v>
      </c>
      <c r="C33" s="92">
        <f t="shared" si="7"/>
        <v>1243887.0136791132</v>
      </c>
      <c r="D33" s="93">
        <v>1738.14</v>
      </c>
      <c r="E33" s="92">
        <f t="shared" si="3"/>
        <v>11070.594421744108</v>
      </c>
      <c r="F33" s="92">
        <f t="shared" si="5"/>
        <v>-2042.8744217441072</v>
      </c>
      <c r="G33" s="92">
        <v>10765.86</v>
      </c>
      <c r="H33" s="94">
        <v>1</v>
      </c>
      <c r="I33" s="92">
        <f t="shared" si="0"/>
        <v>1311112.8694367937</v>
      </c>
      <c r="K33" s="94">
        <v>1.0538</v>
      </c>
    </row>
    <row r="34" spans="1:11" ht="12" customHeight="1">
      <c r="A34" s="90">
        <f t="shared" si="6"/>
        <v>18</v>
      </c>
      <c r="B34" s="91">
        <f>B33+30</f>
        <v>33081</v>
      </c>
      <c r="C34" s="92">
        <f t="shared" si="7"/>
        <v>1311112.8694367937</v>
      </c>
      <c r="D34" s="93">
        <v>1738.14</v>
      </c>
      <c r="E34" s="92">
        <f t="shared" si="3"/>
        <v>11668.904537987464</v>
      </c>
      <c r="F34" s="92">
        <f t="shared" si="5"/>
        <v>-2641.184537987463</v>
      </c>
      <c r="G34" s="92">
        <v>10765.86</v>
      </c>
      <c r="H34" s="94">
        <v>1</v>
      </c>
      <c r="I34" s="92">
        <f t="shared" si="0"/>
        <v>1438013.860727657</v>
      </c>
      <c r="K34" s="94">
        <v>1.0961</v>
      </c>
    </row>
    <row r="35" spans="1:11" ht="12" customHeight="1">
      <c r="A35" s="90">
        <f t="shared" si="6"/>
        <v>19</v>
      </c>
      <c r="B35" s="91">
        <f>B34+31</f>
        <v>33112</v>
      </c>
      <c r="C35" s="92">
        <f t="shared" si="7"/>
        <v>1438013.860727657</v>
      </c>
      <c r="D35" s="93">
        <v>1831.65</v>
      </c>
      <c r="E35" s="92">
        <f t="shared" si="3"/>
        <v>12798.323360476148</v>
      </c>
      <c r="F35" s="92">
        <f t="shared" si="5"/>
        <v>-3284.9233604761484</v>
      </c>
      <c r="G35" s="92">
        <v>11345.05</v>
      </c>
      <c r="H35" s="94">
        <f>11345.05/10765.86</f>
        <v>1.0537987675856828</v>
      </c>
      <c r="I35" s="92">
        <f t="shared" si="0"/>
        <v>1594628.8296606475</v>
      </c>
      <c r="K35" s="94">
        <v>1.1079</v>
      </c>
    </row>
    <row r="36" spans="1:11" ht="12" customHeight="1">
      <c r="A36" s="90">
        <f t="shared" si="6"/>
        <v>20</v>
      </c>
      <c r="B36" s="91">
        <f>B35+31</f>
        <v>33143</v>
      </c>
      <c r="C36" s="92">
        <f t="shared" si="7"/>
        <v>1594628.8296606475</v>
      </c>
      <c r="D36" s="93">
        <v>2007.66</v>
      </c>
      <c r="E36" s="92">
        <f t="shared" si="3"/>
        <v>14192.196583979763</v>
      </c>
      <c r="F36" s="92">
        <f t="shared" si="5"/>
        <v>-3764.5565839797637</v>
      </c>
      <c r="G36" s="92">
        <v>12435.3</v>
      </c>
      <c r="H36" s="94">
        <f>10427.64/(G35-D35)</f>
        <v>1.0961002375596527</v>
      </c>
      <c r="I36" s="92">
        <f t="shared" si="0"/>
        <v>1765097.4564227236</v>
      </c>
      <c r="K36" s="94">
        <v>1.1058</v>
      </c>
    </row>
    <row r="37" spans="1:11" ht="12" customHeight="1">
      <c r="A37" s="90">
        <f t="shared" si="6"/>
        <v>21</v>
      </c>
      <c r="B37" s="91">
        <f>B36+30</f>
        <v>33173</v>
      </c>
      <c r="C37" s="92">
        <f t="shared" si="7"/>
        <v>1765097.4564227236</v>
      </c>
      <c r="D37" s="93">
        <v>2224.27</v>
      </c>
      <c r="E37" s="92">
        <f t="shared" si="3"/>
        <v>15709.36736216224</v>
      </c>
      <c r="F37" s="92">
        <f t="shared" si="5"/>
        <v>-4156.587362162241</v>
      </c>
      <c r="G37" s="92">
        <v>13777.05</v>
      </c>
      <c r="H37" s="94">
        <f>11552.78/10427.64</f>
        <v>1.1078997740620122</v>
      </c>
      <c r="I37" s="92">
        <f t="shared" si="0"/>
        <v>1993844.796935206</v>
      </c>
      <c r="K37" s="94">
        <v>1.1285</v>
      </c>
    </row>
    <row r="38" spans="1:11" ht="12" customHeight="1">
      <c r="A38" s="90">
        <f t="shared" si="6"/>
        <v>22</v>
      </c>
      <c r="B38" s="91">
        <f>B37+31</f>
        <v>33204</v>
      </c>
      <c r="C38" s="92">
        <f t="shared" si="7"/>
        <v>1993844.796935206</v>
      </c>
      <c r="D38" s="93">
        <v>2459.59</v>
      </c>
      <c r="E38" s="92">
        <f t="shared" si="3"/>
        <v>17745.218692723334</v>
      </c>
      <c r="F38" s="92">
        <f t="shared" si="5"/>
        <v>-4970.158692723335</v>
      </c>
      <c r="G38" s="92">
        <v>15234.65</v>
      </c>
      <c r="H38" s="94">
        <f>12775.06/11552.78</f>
        <v>1.105799643029643</v>
      </c>
      <c r="I38" s="92">
        <f t="shared" si="0"/>
        <v>2269711.4872877463</v>
      </c>
      <c r="K38" s="94">
        <v>1.1371</v>
      </c>
    </row>
    <row r="39" spans="1:11" ht="12" customHeight="1">
      <c r="A39" s="90">
        <f t="shared" si="6"/>
        <v>23</v>
      </c>
      <c r="B39" s="91">
        <f>B38+30</f>
        <v>33234</v>
      </c>
      <c r="C39" s="92">
        <f t="shared" si="7"/>
        <v>2269711.4872877463</v>
      </c>
      <c r="D39" s="93">
        <v>2775.64</v>
      </c>
      <c r="E39" s="92">
        <f t="shared" si="3"/>
        <v>20200.432236860943</v>
      </c>
      <c r="F39" s="92">
        <f t="shared" si="5"/>
        <v>-5783.782236860941</v>
      </c>
      <c r="G39" s="92">
        <v>17192.29</v>
      </c>
      <c r="H39" s="94">
        <f>14416.65/12775.06</f>
        <v>1.1284995921741268</v>
      </c>
      <c r="I39" s="92">
        <f t="shared" si="0"/>
        <v>2650399.6210092884</v>
      </c>
      <c r="K39" s="94">
        <v>1.1664</v>
      </c>
    </row>
    <row r="40" spans="1:11" ht="12" customHeight="1">
      <c r="A40" s="90">
        <f t="shared" si="6"/>
        <v>24</v>
      </c>
      <c r="B40" s="91">
        <f>B39+31</f>
        <v>33265</v>
      </c>
      <c r="C40" s="92">
        <f t="shared" si="7"/>
        <v>2650399.6210092884</v>
      </c>
      <c r="D40" s="93">
        <v>4592.82</v>
      </c>
      <c r="E40" s="92">
        <f t="shared" si="3"/>
        <v>23588.556626982667</v>
      </c>
      <c r="F40" s="92">
        <f t="shared" si="5"/>
        <v>266.52337301733496</v>
      </c>
      <c r="G40" s="92">
        <v>28447.9</v>
      </c>
      <c r="H40" s="94">
        <f>23855.08/14416.65</f>
        <v>1.6546895429936914</v>
      </c>
      <c r="I40" s="92">
        <f t="shared" si="0"/>
        <v>3159452.764149972</v>
      </c>
      <c r="K40" s="94">
        <v>1.1939</v>
      </c>
    </row>
    <row r="41" spans="1:11" ht="12" customHeight="1">
      <c r="A41" s="90">
        <f>A40+1</f>
        <v>25</v>
      </c>
      <c r="B41" s="91">
        <f>B40+31</f>
        <v>33296</v>
      </c>
      <c r="C41" s="92">
        <f>I40</f>
        <v>3159452.764149972</v>
      </c>
      <c r="D41" s="93">
        <v>5357.06</v>
      </c>
      <c r="E41" s="92">
        <f t="shared" si="3"/>
        <v>28119.12960093475</v>
      </c>
      <c r="F41" s="92">
        <f aca="true" t="shared" si="8" ref="F41:F52">G41-D41-E41</f>
        <v>-294.56960093474845</v>
      </c>
      <c r="G41" s="92">
        <v>33181.62</v>
      </c>
      <c r="H41" s="94">
        <f>27824.56/23855.08</f>
        <v>1.1663997773220631</v>
      </c>
      <c r="I41" s="92">
        <f t="shared" si="0"/>
        <v>3525262.636470651</v>
      </c>
      <c r="K41" s="94">
        <v>1.117385</v>
      </c>
    </row>
    <row r="42" spans="1:11" ht="12" customHeight="1">
      <c r="A42" s="90">
        <f aca="true" t="shared" si="9" ref="A42:A52">A41+1</f>
        <v>26</v>
      </c>
      <c r="B42" s="91">
        <f>B41+28</f>
        <v>33324</v>
      </c>
      <c r="C42" s="92">
        <f aca="true" t="shared" si="10" ref="C42:C52">I41</f>
        <v>3525262.636470651</v>
      </c>
      <c r="D42" s="93">
        <v>6395.78</v>
      </c>
      <c r="E42" s="92">
        <f t="shared" si="3"/>
        <v>31374.837464588792</v>
      </c>
      <c r="F42" s="92">
        <f t="shared" si="8"/>
        <v>1844.9025354112055</v>
      </c>
      <c r="G42" s="92">
        <v>39615.52</v>
      </c>
      <c r="H42" s="94">
        <f>33219.74/27824.56</f>
        <v>1.1938999215081927</v>
      </c>
      <c r="I42" s="92">
        <f t="shared" si="0"/>
        <v>3836646.941396124</v>
      </c>
      <c r="K42" s="94">
        <v>1.090667</v>
      </c>
    </row>
    <row r="43" spans="1:11" ht="12" customHeight="1">
      <c r="A43" s="90">
        <f t="shared" si="9"/>
        <v>27</v>
      </c>
      <c r="B43" s="91">
        <f>B42+31</f>
        <v>33355</v>
      </c>
      <c r="C43" s="92">
        <f t="shared" si="10"/>
        <v>3836646.941396124</v>
      </c>
      <c r="D43" s="93">
        <v>7179.48</v>
      </c>
      <c r="E43" s="92">
        <f t="shared" si="3"/>
        <v>34146.157778425506</v>
      </c>
      <c r="F43" s="92">
        <f t="shared" si="8"/>
        <v>3144.1922215745</v>
      </c>
      <c r="G43" s="92">
        <v>44469.83</v>
      </c>
      <c r="H43" s="94">
        <f>37290.35/33219.74</f>
        <v>1.1225358777642451</v>
      </c>
      <c r="I43" s="92">
        <f t="shared" si="0"/>
        <v>4154966.6095276</v>
      </c>
      <c r="K43" s="94">
        <v>1.085659</v>
      </c>
    </row>
    <row r="44" spans="1:11" ht="12" customHeight="1">
      <c r="A44" s="90">
        <f t="shared" si="9"/>
        <v>28</v>
      </c>
      <c r="B44" s="91">
        <f>B43+30</f>
        <v>33385</v>
      </c>
      <c r="C44" s="92">
        <f t="shared" si="10"/>
        <v>4154966.6095276</v>
      </c>
      <c r="D44" s="93">
        <v>7179.48</v>
      </c>
      <c r="E44" s="92">
        <f t="shared" si="3"/>
        <v>36979.20282479564</v>
      </c>
      <c r="F44" s="92">
        <f t="shared" si="8"/>
        <v>311.14717520436534</v>
      </c>
      <c r="G44" s="92">
        <v>44469.83</v>
      </c>
      <c r="H44" s="94">
        <v>1</v>
      </c>
      <c r="I44" s="92">
        <f t="shared" si="0"/>
        <v>4501146.740155385</v>
      </c>
      <c r="K44" s="94">
        <v>1.08512</v>
      </c>
    </row>
    <row r="45" spans="1:11" ht="12" customHeight="1">
      <c r="A45" s="90">
        <f t="shared" si="9"/>
        <v>29</v>
      </c>
      <c r="B45" s="91">
        <f>B44+31</f>
        <v>33416</v>
      </c>
      <c r="C45" s="92">
        <f t="shared" si="10"/>
        <v>4501146.740155385</v>
      </c>
      <c r="D45" s="93">
        <v>7179.48</v>
      </c>
      <c r="E45" s="92">
        <f t="shared" si="3"/>
        <v>40060.20598738293</v>
      </c>
      <c r="F45" s="92"/>
      <c r="G45" s="92"/>
      <c r="H45" s="94">
        <v>1</v>
      </c>
      <c r="I45" s="92">
        <f t="shared" si="0"/>
        <v>4978731.912726091</v>
      </c>
      <c r="K45" s="94">
        <v>1.097203</v>
      </c>
    </row>
    <row r="46" spans="1:11" ht="12" customHeight="1">
      <c r="A46" s="90">
        <f t="shared" si="9"/>
        <v>30</v>
      </c>
      <c r="B46" s="91">
        <f>B45+30</f>
        <v>33446</v>
      </c>
      <c r="C46" s="92">
        <f t="shared" si="10"/>
        <v>4978731.912726091</v>
      </c>
      <c r="D46" s="93">
        <v>7179.48</v>
      </c>
      <c r="E46" s="92">
        <f t="shared" si="3"/>
        <v>44310.71402326221</v>
      </c>
      <c r="F46" s="92"/>
      <c r="G46" s="92"/>
      <c r="H46" s="94">
        <v>1</v>
      </c>
      <c r="I46" s="92">
        <f t="shared" si="0"/>
        <v>5505546.472607377</v>
      </c>
      <c r="K46" s="94">
        <v>1.096913</v>
      </c>
    </row>
    <row r="47" spans="1:11" ht="12" customHeight="1">
      <c r="A47" s="90">
        <f t="shared" si="9"/>
        <v>31</v>
      </c>
      <c r="B47" s="91">
        <f>B46+31</f>
        <v>33477</v>
      </c>
      <c r="C47" s="92">
        <f t="shared" si="10"/>
        <v>5505546.472607377</v>
      </c>
      <c r="D47" s="93">
        <v>7179.48</v>
      </c>
      <c r="E47" s="92">
        <f t="shared" si="3"/>
        <v>48999.363606205654</v>
      </c>
      <c r="F47" s="92"/>
      <c r="G47" s="92"/>
      <c r="H47" s="94">
        <v>1</v>
      </c>
      <c r="I47" s="92">
        <f t="shared" si="0"/>
        <v>6155520.278070459</v>
      </c>
      <c r="K47" s="94">
        <v>1.109158</v>
      </c>
    </row>
    <row r="48" spans="1:11" ht="12" customHeight="1">
      <c r="A48" s="90">
        <f t="shared" si="9"/>
        <v>32</v>
      </c>
      <c r="B48" s="91">
        <f>B47+31</f>
        <v>33508</v>
      </c>
      <c r="C48" s="92">
        <f t="shared" si="10"/>
        <v>6155520.278070459</v>
      </c>
      <c r="D48" s="93">
        <v>7179.48</v>
      </c>
      <c r="E48" s="92">
        <f t="shared" si="3"/>
        <v>54784.130474827085</v>
      </c>
      <c r="F48" s="92"/>
      <c r="G48" s="92"/>
      <c r="H48" s="94">
        <v>1</v>
      </c>
      <c r="I48" s="92">
        <f t="shared" si="0"/>
        <v>7270248.067307351</v>
      </c>
      <c r="K48" s="94">
        <v>1.172194</v>
      </c>
    </row>
    <row r="49" spans="1:11" ht="12" customHeight="1">
      <c r="A49" s="90">
        <f t="shared" si="9"/>
        <v>33</v>
      </c>
      <c r="B49" s="91">
        <f>B48+30</f>
        <v>33538</v>
      </c>
      <c r="C49" s="92">
        <f t="shared" si="10"/>
        <v>7270248.067307351</v>
      </c>
      <c r="D49" s="93">
        <v>7179.48</v>
      </c>
      <c r="E49" s="92">
        <f t="shared" si="3"/>
        <v>64705.20779903542</v>
      </c>
      <c r="F49" s="92">
        <f t="shared" si="8"/>
        <v>-27414.857799035417</v>
      </c>
      <c r="G49" s="92">
        <v>44469.83</v>
      </c>
      <c r="H49" s="94">
        <v>1</v>
      </c>
      <c r="I49" s="92">
        <f t="shared" si="0"/>
        <v>8644690.741859525</v>
      </c>
      <c r="K49" s="94">
        <v>1.186267</v>
      </c>
    </row>
    <row r="50" spans="1:11" ht="12" customHeight="1">
      <c r="A50" s="90">
        <f t="shared" si="9"/>
        <v>34</v>
      </c>
      <c r="B50" s="91">
        <f>B49+31</f>
        <v>33569</v>
      </c>
      <c r="C50" s="92">
        <f t="shared" si="10"/>
        <v>8644690.741859525</v>
      </c>
      <c r="D50" s="93">
        <v>8328.19</v>
      </c>
      <c r="E50" s="92">
        <f t="shared" si="3"/>
        <v>76937.74760254977</v>
      </c>
      <c r="F50" s="92">
        <f t="shared" si="8"/>
        <v>-33680.94760254978</v>
      </c>
      <c r="G50" s="92">
        <v>51584.99</v>
      </c>
      <c r="H50" s="94">
        <f>43256.8/37290.35</f>
        <v>1.1599998391004644</v>
      </c>
      <c r="I50" s="92">
        <f t="shared" si="0"/>
        <v>11063836.168099655</v>
      </c>
      <c r="K50" s="94">
        <v>1.276909</v>
      </c>
    </row>
    <row r="51" spans="1:11" ht="12" customHeight="1">
      <c r="A51" s="90">
        <f t="shared" si="9"/>
        <v>35</v>
      </c>
      <c r="B51" s="91">
        <f>B50+30</f>
        <v>33599</v>
      </c>
      <c r="C51" s="92">
        <f t="shared" si="10"/>
        <v>11063836.168099655</v>
      </c>
      <c r="D51" s="93">
        <v>10077.1</v>
      </c>
      <c r="E51" s="92">
        <f t="shared" si="3"/>
        <v>98468.14189608693</v>
      </c>
      <c r="F51" s="92">
        <f t="shared" si="8"/>
        <v>-46127.42189608693</v>
      </c>
      <c r="G51" s="92">
        <v>62417.82</v>
      </c>
      <c r="H51" s="94">
        <f>52340.72/43256.8</f>
        <v>1.2099998150579794</v>
      </c>
      <c r="I51" s="92">
        <f t="shared" si="0"/>
        <v>14343947.084352747</v>
      </c>
      <c r="K51" s="94">
        <v>1.293213</v>
      </c>
    </row>
    <row r="52" spans="1:11" ht="12" customHeight="1">
      <c r="A52" s="90">
        <f t="shared" si="9"/>
        <v>36</v>
      </c>
      <c r="B52" s="91">
        <f>B51+31</f>
        <v>33630</v>
      </c>
      <c r="C52" s="92">
        <f t="shared" si="10"/>
        <v>14343947.084352747</v>
      </c>
      <c r="D52" s="93">
        <v>22718.9</v>
      </c>
      <c r="E52" s="92">
        <f t="shared" si="3"/>
        <v>127661.12905073944</v>
      </c>
      <c r="F52" s="92">
        <f t="shared" si="8"/>
        <v>-9658.509050739449</v>
      </c>
      <c r="G52" s="92">
        <v>140721.52</v>
      </c>
      <c r="H52" s="94">
        <f>118002.62/52340.72</f>
        <v>2.254508917722186</v>
      </c>
      <c r="I52" s="92">
        <f t="shared" si="0"/>
        <v>17918178.76367635</v>
      </c>
      <c r="K52" s="94">
        <v>1.250091</v>
      </c>
    </row>
    <row r="53" spans="1:11" ht="12" customHeight="1">
      <c r="A53" s="90">
        <f>A52+1</f>
        <v>37</v>
      </c>
      <c r="B53" s="91">
        <f>B52+31</f>
        <v>33661</v>
      </c>
      <c r="C53" s="92">
        <f>I52</f>
        <v>17918178.76367635</v>
      </c>
      <c r="D53" s="93">
        <v>22718.9</v>
      </c>
      <c r="E53" s="92">
        <f t="shared" si="3"/>
        <v>159471.7909967195</v>
      </c>
      <c r="F53" s="92">
        <f>G53-D53-E53</f>
        <v>-41469.170996719506</v>
      </c>
      <c r="G53" s="92">
        <v>140721.52</v>
      </c>
      <c r="H53" s="94">
        <v>1</v>
      </c>
      <c r="I53" s="92">
        <f t="shared" si="0"/>
        <v>22895193.7076213</v>
      </c>
      <c r="K53" s="94">
        <v>1.276717</v>
      </c>
    </row>
    <row r="54" spans="1:11" ht="12" customHeight="1">
      <c r="A54" s="90">
        <f>A53+1</f>
        <v>38</v>
      </c>
      <c r="B54" s="91">
        <f>B53+31</f>
        <v>33692</v>
      </c>
      <c r="C54" s="92">
        <f>I53</f>
        <v>22895193.7076213</v>
      </c>
      <c r="D54" s="93">
        <v>29193.78</v>
      </c>
      <c r="E54" s="92">
        <f>I53*0.0089</f>
        <v>203767.22399782957</v>
      </c>
      <c r="F54" s="92">
        <f>G54-D54-E54</f>
        <v>-52133.863997829554</v>
      </c>
      <c r="G54" s="92">
        <v>180827.14</v>
      </c>
      <c r="H54" s="94">
        <f>151633.36/118002.62</f>
        <v>1.2849999432215995</v>
      </c>
      <c r="I54" s="92">
        <f t="shared" si="0"/>
        <v>28227208.679704603</v>
      </c>
      <c r="K54" s="94">
        <v>1.231886</v>
      </c>
    </row>
    <row r="55" spans="1:11" ht="12" customHeight="1">
      <c r="A55" s="90">
        <f>A54+1</f>
        <v>39</v>
      </c>
      <c r="B55" s="91">
        <f>B54+29</f>
        <v>33721</v>
      </c>
      <c r="C55" s="92">
        <f>I54</f>
        <v>28227208.679704603</v>
      </c>
      <c r="D55" s="93">
        <v>29193.78</v>
      </c>
      <c r="E55" s="92">
        <f>I54*0.0089</f>
        <v>251222.15724937097</v>
      </c>
      <c r="F55" s="92">
        <f>G55-D55-E55</f>
        <v>-99588.79724937095</v>
      </c>
      <c r="G55" s="92">
        <v>180827.14</v>
      </c>
      <c r="H55" s="94">
        <v>1</v>
      </c>
      <c r="I55" s="92">
        <f t="shared" si="0"/>
        <v>34372381.276913196</v>
      </c>
      <c r="K55" s="94">
        <v>1.21521</v>
      </c>
    </row>
    <row r="60" spans="1:11" ht="12" customHeight="1">
      <c r="A60" s="63"/>
      <c r="K60" s="65" t="s">
        <v>83</v>
      </c>
    </row>
    <row r="61" spans="1:11" ht="12" customHeight="1">
      <c r="A61" s="63"/>
      <c r="K61" s="65" t="s">
        <v>81</v>
      </c>
    </row>
    <row r="62" spans="1:9" ht="12" customHeight="1">
      <c r="A62" s="63"/>
      <c r="I62" s="65"/>
    </row>
    <row r="63" spans="1:9" ht="12" customHeight="1">
      <c r="A63" s="137" t="s">
        <v>179</v>
      </c>
      <c r="B63" s="137"/>
      <c r="C63" s="137"/>
      <c r="D63" s="137"/>
      <c r="I63" s="60"/>
    </row>
    <row r="64" spans="1:4" ht="12" customHeight="1">
      <c r="A64" s="137" t="s">
        <v>180</v>
      </c>
      <c r="B64" s="137"/>
      <c r="C64" s="137"/>
      <c r="D64" s="137"/>
    </row>
    <row r="65" ht="12" customHeight="1">
      <c r="A65" s="60"/>
    </row>
    <row r="66" spans="1:3" ht="12" customHeight="1">
      <c r="A66" s="60"/>
      <c r="B66" s="60"/>
      <c r="C66" s="60" t="s">
        <v>109</v>
      </c>
    </row>
    <row r="67" spans="1:2" ht="12" customHeight="1">
      <c r="A67" s="60"/>
      <c r="B67" s="60"/>
    </row>
    <row r="68" ht="12" customHeight="1">
      <c r="D68" s="60" t="s">
        <v>88</v>
      </c>
    </row>
    <row r="69" ht="12" customHeight="1" thickBot="1"/>
    <row r="70" spans="1:11" ht="12" customHeight="1" thickBot="1" thickTop="1">
      <c r="A70" s="82" t="s">
        <v>66</v>
      </c>
      <c r="B70" s="82" t="s">
        <v>5</v>
      </c>
      <c r="C70" s="82" t="s">
        <v>85</v>
      </c>
      <c r="D70" s="83" t="s">
        <v>59</v>
      </c>
      <c r="E70" s="82" t="s">
        <v>87</v>
      </c>
      <c r="F70" s="82" t="str">
        <f>F11</f>
        <v>Amortizaç</v>
      </c>
      <c r="G70" s="82" t="s">
        <v>26</v>
      </c>
      <c r="H70" s="82" t="s">
        <v>67</v>
      </c>
      <c r="I70" s="82" t="s">
        <v>119</v>
      </c>
      <c r="K70" s="82" t="s">
        <v>67</v>
      </c>
    </row>
    <row r="71" spans="1:11" ht="12" customHeight="1" thickTop="1">
      <c r="A71" s="84" t="s">
        <v>64</v>
      </c>
      <c r="B71" s="84"/>
      <c r="C71" s="84" t="s">
        <v>86</v>
      </c>
      <c r="D71" s="84"/>
      <c r="E71" s="84"/>
      <c r="F71" s="84"/>
      <c r="G71" s="84"/>
      <c r="H71" s="84" t="s">
        <v>115</v>
      </c>
      <c r="I71" s="84" t="s">
        <v>118</v>
      </c>
      <c r="K71" s="84" t="s">
        <v>120</v>
      </c>
    </row>
    <row r="72" spans="1:11" ht="12" customHeight="1">
      <c r="A72" s="84" t="s">
        <v>112</v>
      </c>
      <c r="B72" s="84"/>
      <c r="C72" s="84" t="s">
        <v>113</v>
      </c>
      <c r="D72" s="85" t="s">
        <v>60</v>
      </c>
      <c r="E72" s="84"/>
      <c r="F72" s="84"/>
      <c r="G72" s="84" t="s">
        <v>27</v>
      </c>
      <c r="H72" s="84" t="s">
        <v>116</v>
      </c>
      <c r="I72" s="84" t="s">
        <v>110</v>
      </c>
      <c r="K72" s="84" t="s">
        <v>85</v>
      </c>
    </row>
    <row r="73" spans="1:11" ht="12" customHeight="1" thickBot="1">
      <c r="A73" s="86"/>
      <c r="B73" s="86"/>
      <c r="C73" s="86" t="s">
        <v>11</v>
      </c>
      <c r="D73" s="87"/>
      <c r="E73" s="86" t="s">
        <v>11</v>
      </c>
      <c r="F73" s="86" t="s">
        <v>11</v>
      </c>
      <c r="G73" s="86" t="s">
        <v>11</v>
      </c>
      <c r="H73" s="86" t="s">
        <v>11</v>
      </c>
      <c r="I73" s="86" t="s">
        <v>11</v>
      </c>
      <c r="K73" s="86" t="s">
        <v>86</v>
      </c>
    </row>
    <row r="74" spans="1:14" ht="12" customHeight="1" thickTop="1">
      <c r="A74" s="88"/>
      <c r="B74" s="88"/>
      <c r="C74" s="88"/>
      <c r="D74" s="89"/>
      <c r="E74" s="88"/>
      <c r="F74" s="88"/>
      <c r="G74" s="88"/>
      <c r="H74" s="88"/>
      <c r="I74" s="88"/>
      <c r="K74" s="88"/>
      <c r="L74" s="61"/>
      <c r="M74" s="61"/>
      <c r="N74" s="61"/>
    </row>
    <row r="75" spans="1:11" ht="12" customHeight="1">
      <c r="A75" s="90">
        <f>A55+1</f>
        <v>40</v>
      </c>
      <c r="B75" s="91">
        <f>B55+31</f>
        <v>33752</v>
      </c>
      <c r="C75" s="92">
        <f>I55</f>
        <v>34372381.276913196</v>
      </c>
      <c r="D75" s="93">
        <v>55917.78</v>
      </c>
      <c r="E75" s="92">
        <f>I55*0.0089</f>
        <v>305914.1933645274</v>
      </c>
      <c r="F75" s="92">
        <f aca="true" t="shared" si="11" ref="F75:F83">G75-D75-E75</f>
        <v>-15475.513364527375</v>
      </c>
      <c r="G75" s="92">
        <v>346356.46</v>
      </c>
      <c r="H75" s="94">
        <f>290438.68/151633.36</f>
        <v>1.915400938157672</v>
      </c>
      <c r="I75" s="92">
        <f aca="true" t="shared" si="12" ref="I75:I80">(C75*K75)-G75+E75</f>
        <v>41293755.486485004</v>
      </c>
      <c r="K75" s="94">
        <v>1.202541</v>
      </c>
    </row>
    <row r="76" spans="1:11" ht="12" customHeight="1">
      <c r="A76" s="90">
        <f aca="true" t="shared" si="13" ref="A76:A83">A75+1</f>
        <v>41</v>
      </c>
      <c r="B76" s="91">
        <f>B75+30</f>
        <v>33782</v>
      </c>
      <c r="C76" s="92">
        <f aca="true" t="shared" si="14" ref="C76:C83">I75</f>
        <v>41293755.486485004</v>
      </c>
      <c r="D76" s="93">
        <v>55917.78</v>
      </c>
      <c r="E76" s="92">
        <f aca="true" t="shared" si="15" ref="E76:E98">I75*0.0089</f>
        <v>367514.4238297165</v>
      </c>
      <c r="F76" s="92">
        <f t="shared" si="11"/>
        <v>-77075.74382971646</v>
      </c>
      <c r="G76" s="92">
        <v>346356.46</v>
      </c>
      <c r="H76" s="94">
        <v>1</v>
      </c>
      <c r="I76" s="92">
        <f t="shared" si="12"/>
        <v>50441783.16920409</v>
      </c>
      <c r="K76" s="94">
        <v>1.221023</v>
      </c>
    </row>
    <row r="77" spans="1:11" ht="12" customHeight="1">
      <c r="A77" s="90">
        <f t="shared" si="13"/>
        <v>42</v>
      </c>
      <c r="B77" s="91">
        <f>B76+31</f>
        <v>33813</v>
      </c>
      <c r="C77" s="92">
        <f t="shared" si="14"/>
        <v>50441783.16920409</v>
      </c>
      <c r="D77" s="93">
        <v>69897.22</v>
      </c>
      <c r="E77" s="92">
        <f t="shared" si="15"/>
        <v>448931.8702059164</v>
      </c>
      <c r="F77" s="92">
        <f t="shared" si="11"/>
        <v>-85883.52020591643</v>
      </c>
      <c r="G77" s="92">
        <v>432945.57</v>
      </c>
      <c r="H77" s="94">
        <f>363048.35/290438.68</f>
        <v>1.25</v>
      </c>
      <c r="I77" s="92">
        <f t="shared" si="12"/>
        <v>61216951.37761807</v>
      </c>
      <c r="K77" s="94">
        <v>1.213299</v>
      </c>
    </row>
    <row r="78" spans="1:11" ht="12" customHeight="1">
      <c r="A78" s="90">
        <f t="shared" si="13"/>
        <v>43</v>
      </c>
      <c r="B78" s="91">
        <f>B77+30</f>
        <v>33843</v>
      </c>
      <c r="C78" s="92">
        <f t="shared" si="14"/>
        <v>61216951.37761807</v>
      </c>
      <c r="D78" s="93">
        <v>69897.22</v>
      </c>
      <c r="E78" s="92">
        <f t="shared" si="15"/>
        <v>544830.8672608008</v>
      </c>
      <c r="F78" s="92">
        <f t="shared" si="11"/>
        <v>-181782.5172608008</v>
      </c>
      <c r="G78" s="92">
        <v>432945.57</v>
      </c>
      <c r="H78" s="94">
        <v>1</v>
      </c>
      <c r="I78" s="92">
        <f t="shared" si="12"/>
        <v>76014477.22561255</v>
      </c>
      <c r="K78" s="94">
        <v>1.239895</v>
      </c>
    </row>
    <row r="79" spans="1:11" ht="12" customHeight="1">
      <c r="A79" s="90">
        <f t="shared" si="13"/>
        <v>44</v>
      </c>
      <c r="B79" s="91">
        <f>B78+31</f>
        <v>33874</v>
      </c>
      <c r="C79" s="92">
        <f t="shared" si="14"/>
        <v>76014477.22561255</v>
      </c>
      <c r="D79" s="93">
        <v>123300.99</v>
      </c>
      <c r="E79" s="92">
        <f t="shared" si="15"/>
        <v>676528.8473079517</v>
      </c>
      <c r="F79" s="92">
        <f t="shared" si="11"/>
        <v>-36099.587307951646</v>
      </c>
      <c r="G79" s="92">
        <v>763730.25</v>
      </c>
      <c r="H79" s="94">
        <f>640429.26/363048.35</f>
        <v>1.7640329724677168</v>
      </c>
      <c r="I79" s="92">
        <f t="shared" si="12"/>
        <v>95944624.1976044</v>
      </c>
      <c r="K79" s="94">
        <v>1.263336</v>
      </c>
    </row>
    <row r="80" spans="1:11" ht="12" customHeight="1">
      <c r="A80" s="90">
        <f t="shared" si="13"/>
        <v>45</v>
      </c>
      <c r="B80" s="91">
        <f>B79+31</f>
        <v>33905</v>
      </c>
      <c r="C80" s="92">
        <f t="shared" si="14"/>
        <v>95944624.1976044</v>
      </c>
      <c r="D80" s="93">
        <v>123300.99</v>
      </c>
      <c r="E80" s="92">
        <f t="shared" si="15"/>
        <v>853907.1553586791</v>
      </c>
      <c r="F80" s="92">
        <f t="shared" si="11"/>
        <v>-213477.89535867912</v>
      </c>
      <c r="G80" s="92">
        <v>763730.25</v>
      </c>
      <c r="H80" s="94">
        <v>1</v>
      </c>
      <c r="I80" s="92">
        <f t="shared" si="12"/>
        <v>117689406.8397382</v>
      </c>
      <c r="K80" s="94">
        <v>1.225699</v>
      </c>
    </row>
    <row r="81" spans="1:11" ht="12" customHeight="1">
      <c r="A81" s="90">
        <f t="shared" si="13"/>
        <v>46</v>
      </c>
      <c r="B81" s="91">
        <f>B80+30</f>
        <v>33935</v>
      </c>
      <c r="C81" s="92">
        <f t="shared" si="14"/>
        <v>117689406.8397382</v>
      </c>
      <c r="D81" s="93">
        <v>151466.74</v>
      </c>
      <c r="E81" s="92">
        <f t="shared" si="15"/>
        <v>1047435.7208736701</v>
      </c>
      <c r="F81" s="92">
        <f t="shared" si="11"/>
        <v>-260712.57087367005</v>
      </c>
      <c r="G81" s="92">
        <v>938189.89</v>
      </c>
      <c r="H81" s="94">
        <f>786723.15/640429.26</f>
        <v>1.2284309901768073</v>
      </c>
      <c r="I81" s="92">
        <v>136865055.93</v>
      </c>
      <c r="K81" s="94">
        <f>I81/I80</f>
        <v>1.162934367715643</v>
      </c>
    </row>
    <row r="82" spans="1:11" ht="12" customHeight="1">
      <c r="A82" s="90">
        <f t="shared" si="13"/>
        <v>47</v>
      </c>
      <c r="B82" s="91">
        <f>B81+31</f>
        <v>33966</v>
      </c>
      <c r="C82" s="92">
        <f t="shared" si="14"/>
        <v>136865055.93</v>
      </c>
      <c r="D82" s="93">
        <v>151466.74</v>
      </c>
      <c r="E82" s="92">
        <f t="shared" si="15"/>
        <v>1218098.997777</v>
      </c>
      <c r="F82" s="92">
        <f t="shared" si="11"/>
        <v>-431375.84777700005</v>
      </c>
      <c r="G82" s="92">
        <v>938189.89</v>
      </c>
      <c r="H82" s="94">
        <v>1</v>
      </c>
      <c r="I82" s="92">
        <v>172857889.63</v>
      </c>
      <c r="K82" s="94">
        <f>I82/I81</f>
        <v>1.2629804478245243</v>
      </c>
    </row>
    <row r="83" spans="1:11" ht="12" customHeight="1">
      <c r="A83" s="90">
        <f t="shared" si="13"/>
        <v>48</v>
      </c>
      <c r="B83" s="91">
        <f>B82+30</f>
        <v>33996</v>
      </c>
      <c r="C83" s="92">
        <f t="shared" si="14"/>
        <v>172857889.63</v>
      </c>
      <c r="D83" s="93">
        <v>299213.29</v>
      </c>
      <c r="E83" s="92">
        <f t="shared" si="15"/>
        <v>1538435.217707</v>
      </c>
      <c r="F83" s="92">
        <f t="shared" si="11"/>
        <v>15688.372292999877</v>
      </c>
      <c r="G83" s="92">
        <v>1853336.88</v>
      </c>
      <c r="H83" s="94">
        <f>1554123.59/786723.15</f>
        <v>1.9754389965517094</v>
      </c>
      <c r="I83" s="92">
        <v>210991008.83</v>
      </c>
      <c r="K83" s="94">
        <f aca="true" t="shared" si="16" ref="K83:K98">I83/I82</f>
        <v>1.2206038687711822</v>
      </c>
    </row>
    <row r="84" spans="1:11" ht="12" customHeight="1">
      <c r="A84" s="90">
        <f>A83+1</f>
        <v>49</v>
      </c>
      <c r="B84" s="91">
        <f>B83+31</f>
        <v>34027</v>
      </c>
      <c r="C84" s="92">
        <f>I83</f>
        <v>210991008.83</v>
      </c>
      <c r="D84" s="93">
        <v>299213.29</v>
      </c>
      <c r="E84" s="92">
        <f t="shared" si="15"/>
        <v>1877819.9785870002</v>
      </c>
      <c r="F84" s="92">
        <f aca="true" t="shared" si="17" ref="F84:F95">G84-D84-E84</f>
        <v>-323696.3885870003</v>
      </c>
      <c r="G84" s="92">
        <v>1853336.88</v>
      </c>
      <c r="H84" s="94">
        <v>1</v>
      </c>
      <c r="I84" s="92">
        <v>268677321.14</v>
      </c>
      <c r="K84" s="94">
        <f t="shared" si="16"/>
        <v>1.273406495517916</v>
      </c>
    </row>
    <row r="85" spans="1:11" ht="12" customHeight="1">
      <c r="A85" s="90">
        <f aca="true" t="shared" si="18" ref="A85:A95">A84+1</f>
        <v>50</v>
      </c>
      <c r="B85" s="91">
        <f>B84+28</f>
        <v>34055</v>
      </c>
      <c r="C85" s="92">
        <f aca="true" t="shared" si="19" ref="C85:C95">I84</f>
        <v>268677321.14</v>
      </c>
      <c r="D85" s="93">
        <v>396457.6</v>
      </c>
      <c r="E85" s="92">
        <f t="shared" si="15"/>
        <v>2391228.158146</v>
      </c>
      <c r="F85" s="92">
        <f t="shared" si="17"/>
        <v>-332014.408146</v>
      </c>
      <c r="G85" s="92">
        <v>2455671.35</v>
      </c>
      <c r="H85" s="94">
        <f>2059213.75/1554123.59</f>
        <v>1.324999995656716</v>
      </c>
      <c r="I85" s="92">
        <v>352991500.4</v>
      </c>
      <c r="K85" s="94">
        <f t="shared" si="16"/>
        <v>1.3138120437640746</v>
      </c>
    </row>
    <row r="86" spans="1:11" ht="12" customHeight="1">
      <c r="A86" s="90">
        <f t="shared" si="18"/>
        <v>51</v>
      </c>
      <c r="B86" s="91">
        <f>B85+31</f>
        <v>34086</v>
      </c>
      <c r="C86" s="92">
        <f t="shared" si="19"/>
        <v>352991500.4</v>
      </c>
      <c r="D86" s="93">
        <v>396457.6</v>
      </c>
      <c r="E86" s="92">
        <f t="shared" si="15"/>
        <v>3141624.3535599997</v>
      </c>
      <c r="F86" s="92">
        <f t="shared" si="17"/>
        <v>-1082410.6035599997</v>
      </c>
      <c r="G86" s="92">
        <v>2455671.35</v>
      </c>
      <c r="H86" s="94">
        <v>1</v>
      </c>
      <c r="I86" s="92">
        <v>432047177.37</v>
      </c>
      <c r="K86" s="94">
        <f t="shared" si="16"/>
        <v>1.22395915165214</v>
      </c>
    </row>
    <row r="87" spans="1:11" ht="12" customHeight="1">
      <c r="A87" s="90">
        <f t="shared" si="18"/>
        <v>52</v>
      </c>
      <c r="B87" s="91">
        <f>B86+30</f>
        <v>34116</v>
      </c>
      <c r="C87" s="92">
        <f t="shared" si="19"/>
        <v>432047177.37</v>
      </c>
      <c r="D87" s="93">
        <v>744420.1</v>
      </c>
      <c r="E87" s="92">
        <f t="shared" si="15"/>
        <v>3845219.878593</v>
      </c>
      <c r="F87" s="92">
        <f t="shared" si="17"/>
        <v>21312.531406999566</v>
      </c>
      <c r="G87" s="92">
        <v>4610952.51</v>
      </c>
      <c r="H87" s="94">
        <f>3866542.41/2059213.75</f>
        <v>1.8776789976271284</v>
      </c>
      <c r="I87" s="92">
        <v>542944270.39</v>
      </c>
      <c r="K87" s="94">
        <f t="shared" si="16"/>
        <v>1.2566782028181822</v>
      </c>
    </row>
    <row r="88" spans="1:11" ht="12" customHeight="1">
      <c r="A88" s="90">
        <f t="shared" si="18"/>
        <v>53</v>
      </c>
      <c r="B88" s="91">
        <f>B87+31</f>
        <v>34147</v>
      </c>
      <c r="C88" s="92">
        <f t="shared" si="19"/>
        <v>542944270.39</v>
      </c>
      <c r="D88" s="93">
        <v>744420.1</v>
      </c>
      <c r="E88" s="92">
        <f t="shared" si="15"/>
        <v>4832204.006471</v>
      </c>
      <c r="F88" s="92">
        <f t="shared" si="17"/>
        <v>-965671.596471</v>
      </c>
      <c r="G88" s="92">
        <v>4610952.51</v>
      </c>
      <c r="H88" s="94">
        <v>1</v>
      </c>
      <c r="I88" s="92">
        <v>711929300.42</v>
      </c>
      <c r="K88" s="94">
        <f t="shared" si="16"/>
        <v>1.311238260067865</v>
      </c>
    </row>
    <row r="89" spans="1:11" ht="12" customHeight="1">
      <c r="A89" s="90">
        <f t="shared" si="18"/>
        <v>54</v>
      </c>
      <c r="B89" s="91">
        <f>B88+30</f>
        <v>34177</v>
      </c>
      <c r="C89" s="92">
        <f t="shared" si="19"/>
        <v>711929300.42</v>
      </c>
      <c r="D89" s="93">
        <v>1024545.37</v>
      </c>
      <c r="E89" s="92">
        <f t="shared" si="15"/>
        <v>6336170.773738</v>
      </c>
      <c r="F89" s="92">
        <f t="shared" si="17"/>
        <v>-1014648.463738</v>
      </c>
      <c r="G89" s="92">
        <v>6346067.68</v>
      </c>
      <c r="H89" s="94">
        <f>5321522.31/3866542.41</f>
        <v>1.3762999977025985</v>
      </c>
      <c r="I89" s="92">
        <v>924612366.7</v>
      </c>
      <c r="K89" s="94">
        <f t="shared" si="16"/>
        <v>1.2987418359583298</v>
      </c>
    </row>
    <row r="90" spans="1:11" ht="12" customHeight="1">
      <c r="A90" s="90">
        <f t="shared" si="18"/>
        <v>55</v>
      </c>
      <c r="B90" s="91">
        <f>B89+31</f>
        <v>34208</v>
      </c>
      <c r="C90" s="92">
        <f>I89/1000</f>
        <v>924612.3667</v>
      </c>
      <c r="D90" s="93">
        <v>1024.54</v>
      </c>
      <c r="E90" s="92">
        <f>I89*0.0089/1000</f>
        <v>8229.05006363</v>
      </c>
      <c r="F90" s="92">
        <f t="shared" si="17"/>
        <v>-2907.53006363</v>
      </c>
      <c r="G90" s="92">
        <v>6346.06</v>
      </c>
      <c r="H90" s="94">
        <v>1</v>
      </c>
      <c r="I90" s="92">
        <f>1190290102.04/1000</f>
        <v>1190290.10204</v>
      </c>
      <c r="K90" s="94">
        <f t="shared" si="16"/>
        <v>0.0012873395867375435</v>
      </c>
    </row>
    <row r="91" spans="1:11" ht="12" customHeight="1">
      <c r="A91" s="90">
        <f t="shared" si="18"/>
        <v>56</v>
      </c>
      <c r="B91" s="91">
        <f>B90+31</f>
        <v>34239</v>
      </c>
      <c r="C91" s="92">
        <f t="shared" si="19"/>
        <v>1190290.10204</v>
      </c>
      <c r="D91" s="93">
        <v>2056.65</v>
      </c>
      <c r="E91" s="92">
        <f t="shared" si="15"/>
        <v>10593.581908156</v>
      </c>
      <c r="F91" s="92">
        <f t="shared" si="17"/>
        <v>88.82809184399957</v>
      </c>
      <c r="G91" s="92">
        <v>12739.06</v>
      </c>
      <c r="H91" s="94">
        <f>10682.41/5321.52</f>
        <v>2.0073982621506636</v>
      </c>
      <c r="I91" s="92">
        <v>1603122.73</v>
      </c>
      <c r="K91" s="94">
        <f t="shared" si="16"/>
        <v>1.3468336225366062</v>
      </c>
    </row>
    <row r="92" spans="1:11" ht="12" customHeight="1">
      <c r="A92" s="90">
        <f t="shared" si="18"/>
        <v>57</v>
      </c>
      <c r="B92" s="91">
        <f>B91+30</f>
        <v>34269</v>
      </c>
      <c r="C92" s="92">
        <f t="shared" si="19"/>
        <v>1603122.73</v>
      </c>
      <c r="D92" s="93">
        <v>2452.75</v>
      </c>
      <c r="E92" s="92">
        <f t="shared" si="15"/>
        <v>14267.792297</v>
      </c>
      <c r="F92" s="92">
        <f t="shared" si="17"/>
        <v>-1527.9522969999998</v>
      </c>
      <c r="G92" s="92">
        <v>15192.59</v>
      </c>
      <c r="H92" s="94">
        <f>12739.84/10682.41</f>
        <v>1.192599797236766</v>
      </c>
      <c r="I92" s="92">
        <v>2122850.49</v>
      </c>
      <c r="K92" s="94">
        <f t="shared" si="16"/>
        <v>1.3241971124693617</v>
      </c>
    </row>
    <row r="93" spans="1:11" ht="12" customHeight="1">
      <c r="A93" s="90">
        <f>A92+1</f>
        <v>58</v>
      </c>
      <c r="B93" s="91">
        <f>B92+31</f>
        <v>34300</v>
      </c>
      <c r="C93" s="92">
        <f t="shared" si="19"/>
        <v>2122850.49</v>
      </c>
      <c r="D93" s="93">
        <v>2997.74</v>
      </c>
      <c r="E93" s="92">
        <f t="shared" si="15"/>
        <v>18893.369361</v>
      </c>
      <c r="F93" s="92">
        <f t="shared" si="17"/>
        <v>-3322.7393610000017</v>
      </c>
      <c r="G93" s="92">
        <v>18568.37</v>
      </c>
      <c r="H93" s="94">
        <f>15570.63/12739.84</f>
        <v>1.2221998078468803</v>
      </c>
      <c r="I93" s="92">
        <v>2950585.79</v>
      </c>
      <c r="K93" s="94">
        <f t="shared" si="16"/>
        <v>1.3899169083735141</v>
      </c>
    </row>
    <row r="94" spans="1:11" ht="12" customHeight="1">
      <c r="A94" s="90">
        <f t="shared" si="18"/>
        <v>59</v>
      </c>
      <c r="B94" s="91">
        <f>B93+30</f>
        <v>34330</v>
      </c>
      <c r="C94" s="92">
        <f t="shared" si="19"/>
        <v>2950585.79</v>
      </c>
      <c r="D94" s="93">
        <v>3752.26</v>
      </c>
      <c r="E94" s="92">
        <f t="shared" si="15"/>
        <v>26260.213531</v>
      </c>
      <c r="F94" s="92">
        <f t="shared" si="17"/>
        <v>-10522.723531000001</v>
      </c>
      <c r="G94" s="92">
        <v>19489.75</v>
      </c>
      <c r="H94" s="94">
        <f>4102908.63/2950585.79</f>
        <v>1.3905403611396094</v>
      </c>
      <c r="I94" s="92">
        <v>4102908.63</v>
      </c>
      <c r="K94" s="94">
        <f t="shared" si="16"/>
        <v>1.3905403611396094</v>
      </c>
    </row>
    <row r="95" spans="1:11" ht="12" customHeight="1">
      <c r="A95" s="90">
        <f t="shared" si="18"/>
        <v>60</v>
      </c>
      <c r="B95" s="91">
        <f>B94+31</f>
        <v>34361</v>
      </c>
      <c r="C95" s="92">
        <f t="shared" si="19"/>
        <v>4102908.63</v>
      </c>
      <c r="D95" s="93">
        <v>6704.4</v>
      </c>
      <c r="E95" s="92">
        <f t="shared" si="15"/>
        <v>36515.886806999995</v>
      </c>
      <c r="F95" s="92">
        <f t="shared" si="17"/>
        <v>-1694.266807</v>
      </c>
      <c r="G95" s="92">
        <v>41526.02</v>
      </c>
      <c r="H95" s="94">
        <f>34823.62/19489.75</f>
        <v>1.7867658641080568</v>
      </c>
      <c r="I95" s="92">
        <v>5407027.61</v>
      </c>
      <c r="K95" s="94">
        <f t="shared" si="16"/>
        <v>1.317852308595037</v>
      </c>
    </row>
    <row r="96" spans="1:11" ht="12" customHeight="1">
      <c r="A96" s="90">
        <f>A95+1</f>
        <v>61</v>
      </c>
      <c r="B96" s="91">
        <f>B95+31</f>
        <v>34392</v>
      </c>
      <c r="C96" s="92">
        <f>I95</f>
        <v>5407027.61</v>
      </c>
      <c r="D96" s="93">
        <v>8373.11</v>
      </c>
      <c r="E96" s="92">
        <f t="shared" si="15"/>
        <v>48122.545729000005</v>
      </c>
      <c r="F96" s="92">
        <f>G96-D96-E96</f>
        <v>-4631.335729000006</v>
      </c>
      <c r="G96" s="92">
        <v>51864.32</v>
      </c>
      <c r="H96" s="94">
        <f>43491.12/34823.62</f>
        <v>1.2488971565850995</v>
      </c>
      <c r="I96" s="92">
        <v>7800457.92</v>
      </c>
      <c r="K96" s="94">
        <f t="shared" si="16"/>
        <v>1.442651764080783</v>
      </c>
    </row>
    <row r="97" spans="1:11" ht="12" customHeight="1">
      <c r="A97" s="90">
        <f>A96+1</f>
        <v>62</v>
      </c>
      <c r="B97" s="91">
        <f>B96+28</f>
        <v>34420</v>
      </c>
      <c r="C97" s="92">
        <f>I96</f>
        <v>7800457.92</v>
      </c>
      <c r="D97" s="93">
        <v>10663.14</v>
      </c>
      <c r="E97" s="92">
        <f t="shared" si="15"/>
        <v>69424.075488</v>
      </c>
      <c r="F97" s="92">
        <f>G97-D97-E97</f>
        <v>-14038.025488</v>
      </c>
      <c r="G97" s="92">
        <v>66049.19</v>
      </c>
      <c r="H97" s="94">
        <f>55386.05/43491.21</f>
        <v>1.2734998635356434</v>
      </c>
      <c r="I97" s="92">
        <v>11354360.07</v>
      </c>
      <c r="K97" s="94">
        <f t="shared" si="16"/>
        <v>1.455601733442849</v>
      </c>
    </row>
    <row r="98" spans="1:11" ht="12" customHeight="1">
      <c r="A98" s="90">
        <f>A97+1</f>
        <v>63</v>
      </c>
      <c r="B98" s="91">
        <f>B97+31</f>
        <v>34451</v>
      </c>
      <c r="C98" s="92">
        <f>I97</f>
        <v>11354360.07</v>
      </c>
      <c r="D98" s="93">
        <v>13888.73</v>
      </c>
      <c r="E98" s="92">
        <f t="shared" si="15"/>
        <v>101053.804623</v>
      </c>
      <c r="F98" s="92">
        <f>G98-D98-E98</f>
        <v>-28913.474623000002</v>
      </c>
      <c r="G98" s="92">
        <v>86029.06</v>
      </c>
      <c r="H98" s="94">
        <f>72140.33/55386.05</f>
        <v>1.302499997743114</v>
      </c>
      <c r="I98" s="92">
        <v>15688028.34</v>
      </c>
      <c r="K98" s="94">
        <f t="shared" si="16"/>
        <v>1.3816743738337338</v>
      </c>
    </row>
    <row r="100" spans="1:11" ht="12" customHeight="1">
      <c r="A100" s="95" t="s">
        <v>12</v>
      </c>
      <c r="B100" s="96"/>
      <c r="C100" s="97"/>
      <c r="D100" s="96"/>
      <c r="E100" s="98"/>
      <c r="F100" s="98"/>
      <c r="G100" s="97"/>
      <c r="H100" s="97"/>
      <c r="I100" s="97">
        <f>I98</f>
        <v>15688028.34</v>
      </c>
      <c r="K100" s="97"/>
    </row>
    <row r="101" spans="9:11" ht="12" customHeight="1">
      <c r="I101" s="65"/>
      <c r="K101" s="65"/>
    </row>
    <row r="102" spans="1:11" ht="12" customHeight="1">
      <c r="A102" s="60" t="s">
        <v>174</v>
      </c>
      <c r="I102" s="97">
        <f>I100</f>
        <v>15688028.34</v>
      </c>
      <c r="K102" s="99"/>
    </row>
    <row r="103" spans="1:11" ht="12" customHeight="1">
      <c r="A103" s="60" t="s">
        <v>75</v>
      </c>
      <c r="E103" s="100"/>
      <c r="F103" s="100"/>
      <c r="I103" s="99"/>
      <c r="K103" s="99"/>
    </row>
    <row r="104" ht="12" customHeight="1">
      <c r="A104" s="101" t="s">
        <v>72</v>
      </c>
    </row>
  </sheetData>
  <sheetProtection/>
  <mergeCells count="4">
    <mergeCell ref="A4:D4"/>
    <mergeCell ref="A5:D5"/>
    <mergeCell ref="A63:D63"/>
    <mergeCell ref="A64:D64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"/>
  <sheetViews>
    <sheetView zoomScale="110" zoomScaleNormal="110" zoomScalePageLayoutView="0" workbookViewId="0" topLeftCell="A1">
      <selection activeCell="B42" sqref="B42"/>
    </sheetView>
  </sheetViews>
  <sheetFormatPr defaultColWidth="11.140625" defaultRowHeight="12.75"/>
  <cols>
    <col min="1" max="16384" width="11.140625" style="64" customWidth="1"/>
  </cols>
  <sheetData>
    <row r="1" spans="1:10" ht="10.5">
      <c r="A1" s="63"/>
      <c r="J1" s="65" t="s">
        <v>126</v>
      </c>
    </row>
    <row r="2" spans="1:10" ht="10.5">
      <c r="A2" s="63"/>
      <c r="J2" s="65" t="s">
        <v>2</v>
      </c>
    </row>
    <row r="3" spans="1:9" ht="10.5">
      <c r="A3" s="63"/>
      <c r="I3" s="65"/>
    </row>
    <row r="4" spans="1:9" ht="10.5">
      <c r="A4" s="137" t="s">
        <v>179</v>
      </c>
      <c r="B4" s="137"/>
      <c r="C4" s="137"/>
      <c r="D4" s="137"/>
      <c r="I4" s="60"/>
    </row>
    <row r="5" spans="1:4" ht="10.5">
      <c r="A5" s="137" t="s">
        <v>180</v>
      </c>
      <c r="B5" s="137"/>
      <c r="C5" s="137"/>
      <c r="D5" s="137"/>
    </row>
    <row r="6" ht="10.5">
      <c r="A6" s="60"/>
    </row>
    <row r="7" spans="1:2" ht="10.5">
      <c r="A7" s="60"/>
      <c r="B7" s="60" t="s">
        <v>73</v>
      </c>
    </row>
    <row r="8" spans="1:2" ht="10.5">
      <c r="A8" s="60"/>
      <c r="B8" s="60" t="s">
        <v>84</v>
      </c>
    </row>
    <row r="9" spans="1:2" ht="10.5">
      <c r="A9" s="60"/>
      <c r="B9" s="60"/>
    </row>
    <row r="10" spans="1:4" ht="10.5">
      <c r="A10" s="60"/>
      <c r="B10" s="60"/>
      <c r="D10" s="60" t="s">
        <v>89</v>
      </c>
    </row>
    <row r="11" spans="1:2" ht="11.25" thickBot="1">
      <c r="A11" s="60"/>
      <c r="B11" s="60"/>
    </row>
    <row r="12" spans="1:10" ht="12" thickBot="1" thickTop="1">
      <c r="A12" s="82" t="s">
        <v>66</v>
      </c>
      <c r="B12" s="82" t="s">
        <v>5</v>
      </c>
      <c r="C12" s="82" t="s">
        <v>85</v>
      </c>
      <c r="D12" s="83" t="s">
        <v>59</v>
      </c>
      <c r="E12" s="82" t="s">
        <v>103</v>
      </c>
      <c r="F12" s="82" t="s">
        <v>104</v>
      </c>
      <c r="G12" s="82" t="s">
        <v>26</v>
      </c>
      <c r="H12" s="82" t="s">
        <v>67</v>
      </c>
      <c r="I12" s="82" t="s">
        <v>119</v>
      </c>
      <c r="J12" s="82" t="s">
        <v>67</v>
      </c>
    </row>
    <row r="13" spans="1:10" ht="11.25" thickTop="1">
      <c r="A13" s="84" t="s">
        <v>64</v>
      </c>
      <c r="B13" s="84"/>
      <c r="C13" s="84" t="s">
        <v>86</v>
      </c>
      <c r="D13" s="84"/>
      <c r="E13" s="84"/>
      <c r="F13" s="84"/>
      <c r="G13" s="84"/>
      <c r="H13" s="84" t="s">
        <v>114</v>
      </c>
      <c r="I13" s="84" t="s">
        <v>118</v>
      </c>
      <c r="J13" s="84" t="s">
        <v>120</v>
      </c>
    </row>
    <row r="14" spans="1:10" ht="10.5">
      <c r="A14" s="84" t="s">
        <v>90</v>
      </c>
      <c r="B14" s="84"/>
      <c r="C14" s="84" t="s">
        <v>113</v>
      </c>
      <c r="D14" s="85" t="s">
        <v>60</v>
      </c>
      <c r="E14" s="102">
        <v>0.089</v>
      </c>
      <c r="F14" s="84"/>
      <c r="G14" s="84" t="s">
        <v>27</v>
      </c>
      <c r="H14" s="84" t="s">
        <v>116</v>
      </c>
      <c r="I14" s="84" t="s">
        <v>110</v>
      </c>
      <c r="J14" s="84" t="s">
        <v>85</v>
      </c>
    </row>
    <row r="15" spans="1:10" ht="11.25" thickBot="1">
      <c r="A15" s="86"/>
      <c r="B15" s="86"/>
      <c r="C15" s="86" t="s">
        <v>11</v>
      </c>
      <c r="D15" s="87"/>
      <c r="E15" s="86" t="s">
        <v>11</v>
      </c>
      <c r="F15" s="86" t="s">
        <v>11</v>
      </c>
      <c r="G15" s="86" t="s">
        <v>11</v>
      </c>
      <c r="H15" s="86" t="s">
        <v>117</v>
      </c>
      <c r="I15" s="86" t="s">
        <v>11</v>
      </c>
      <c r="J15" s="86" t="s">
        <v>86</v>
      </c>
    </row>
    <row r="16" ht="11.25" thickTop="1"/>
    <row r="17" spans="1:9" ht="10.5" customHeight="1">
      <c r="A17" s="104" t="s">
        <v>175</v>
      </c>
      <c r="B17" s="105">
        <v>34451</v>
      </c>
      <c r="C17" s="106">
        <f>Plan3!I102</f>
        <v>15688028.34</v>
      </c>
      <c r="E17" s="106"/>
      <c r="F17" s="106"/>
      <c r="H17" s="107">
        <v>1</v>
      </c>
      <c r="I17" s="106">
        <f>(C17*H17)-G17</f>
        <v>15688028.34</v>
      </c>
    </row>
    <row r="18" spans="1:10" ht="10.5">
      <c r="A18" s="90">
        <f>64</f>
        <v>64</v>
      </c>
      <c r="B18" s="91">
        <f>B17+30</f>
        <v>34481</v>
      </c>
      <c r="C18" s="92">
        <f>I17</f>
        <v>15688028.34</v>
      </c>
      <c r="D18" s="93">
        <f>8614.92+24060.35</f>
        <v>32675.269999999997</v>
      </c>
      <c r="E18" s="92">
        <f>I17*0.0089</f>
        <v>139623.452226</v>
      </c>
      <c r="F18" s="92">
        <f>G18-D18-E18</f>
        <v>30097.327774000005</v>
      </c>
      <c r="G18" s="92">
        <v>202396.05</v>
      </c>
      <c r="H18" s="94">
        <v>1.421964</v>
      </c>
      <c r="I18" s="106">
        <v>33712191.39</v>
      </c>
      <c r="J18" s="108">
        <f>I18/I17</f>
        <v>2.1489119384137982</v>
      </c>
    </row>
    <row r="19" spans="1:10" ht="10.5">
      <c r="A19" s="90">
        <f aca="true" t="shared" si="0" ref="A19:A26">A18+1</f>
        <v>65</v>
      </c>
      <c r="B19" s="91">
        <f>B18+31</f>
        <v>34512</v>
      </c>
      <c r="C19" s="92">
        <f>I18/661.0055</f>
        <v>51001.37803694523</v>
      </c>
      <c r="D19" s="93">
        <f>4.43+12.38</f>
        <v>16.810000000000002</v>
      </c>
      <c r="E19" s="92">
        <f>I18/661.005*0.0089</f>
        <v>453.9126078789117</v>
      </c>
      <c r="F19" s="92">
        <f aca="true" t="shared" si="1" ref="F19:F26">G19-D19-E19</f>
        <v>-366.4626078789117</v>
      </c>
      <c r="G19" s="92">
        <v>104.26</v>
      </c>
      <c r="H19" s="94">
        <v>1.416868</v>
      </c>
      <c r="I19" s="106">
        <v>20078.98</v>
      </c>
      <c r="J19" s="108">
        <f aca="true" t="shared" si="2" ref="J19:J56">I19/I18</f>
        <v>0.0005955999646453122</v>
      </c>
    </row>
    <row r="20" spans="1:10" ht="10.5">
      <c r="A20" s="90">
        <f t="shared" si="0"/>
        <v>66</v>
      </c>
      <c r="B20" s="91">
        <f>B19+30</f>
        <v>34542</v>
      </c>
      <c r="C20" s="92">
        <f>I19</f>
        <v>20078.98</v>
      </c>
      <c r="D20" s="93">
        <f>6.49+18.16</f>
        <v>24.65</v>
      </c>
      <c r="E20" s="92">
        <f>(I19*0.0089)</f>
        <v>178.702922</v>
      </c>
      <c r="F20" s="92">
        <f t="shared" si="1"/>
        <v>-50.522921999999994</v>
      </c>
      <c r="G20" s="92">
        <v>152.83</v>
      </c>
      <c r="H20" s="94">
        <v>1.466025</v>
      </c>
      <c r="I20" s="106">
        <v>19926.15</v>
      </c>
      <c r="J20" s="108">
        <f t="shared" si="2"/>
        <v>0.9923885575860926</v>
      </c>
    </row>
    <row r="21" spans="1:10" ht="10.5">
      <c r="A21" s="90">
        <f t="shared" si="0"/>
        <v>67</v>
      </c>
      <c r="B21" s="91">
        <f>B20+31</f>
        <v>34573</v>
      </c>
      <c r="C21" s="92">
        <f aca="true" t="shared" si="3" ref="C21:C26">I20</f>
        <v>19926.15</v>
      </c>
      <c r="D21" s="93">
        <f>6.49+18.16</f>
        <v>24.65</v>
      </c>
      <c r="E21" s="92">
        <f aca="true" t="shared" si="4" ref="E21:E56">I20*0.0089</f>
        <v>177.342735</v>
      </c>
      <c r="F21" s="92">
        <f t="shared" si="1"/>
        <v>-49.162735</v>
      </c>
      <c r="G21" s="92">
        <v>152.83</v>
      </c>
      <c r="H21" s="94">
        <v>1</v>
      </c>
      <c r="I21" s="106">
        <v>20471.25</v>
      </c>
      <c r="J21" s="108">
        <f t="shared" si="2"/>
        <v>1.0273560120745853</v>
      </c>
    </row>
    <row r="22" spans="1:10" ht="10.5">
      <c r="A22" s="90">
        <f t="shared" si="0"/>
        <v>68</v>
      </c>
      <c r="B22" s="91">
        <f>B21+31</f>
        <v>34604</v>
      </c>
      <c r="C22" s="92">
        <f t="shared" si="3"/>
        <v>20471.25</v>
      </c>
      <c r="D22" s="93">
        <f>6.49+18.16</f>
        <v>24.65</v>
      </c>
      <c r="E22" s="92">
        <f t="shared" si="4"/>
        <v>182.19412499999999</v>
      </c>
      <c r="F22" s="92">
        <f t="shared" si="1"/>
        <v>-54.01412499999998</v>
      </c>
      <c r="G22" s="92">
        <v>152.83</v>
      </c>
      <c r="H22" s="94">
        <v>1</v>
      </c>
      <c r="I22" s="106">
        <v>20958.75</v>
      </c>
      <c r="J22" s="108">
        <f t="shared" si="2"/>
        <v>1.023813885326983</v>
      </c>
    </row>
    <row r="23" spans="1:10" ht="10.5">
      <c r="A23" s="90">
        <f t="shared" si="0"/>
        <v>69</v>
      </c>
      <c r="B23" s="91">
        <f>B22+30</f>
        <v>34634</v>
      </c>
      <c r="C23" s="92">
        <f t="shared" si="3"/>
        <v>20958.75</v>
      </c>
      <c r="D23" s="93">
        <f>6.49+18.16</f>
        <v>24.65</v>
      </c>
      <c r="E23" s="92">
        <f t="shared" si="4"/>
        <v>186.532875</v>
      </c>
      <c r="F23" s="92">
        <f t="shared" si="1"/>
        <v>-58.35287499999998</v>
      </c>
      <c r="G23" s="92">
        <v>152.83</v>
      </c>
      <c r="H23" s="94">
        <v>1</v>
      </c>
      <c r="I23" s="106">
        <v>21540.38</v>
      </c>
      <c r="J23" s="108">
        <f t="shared" si="2"/>
        <v>1.0277511779089878</v>
      </c>
    </row>
    <row r="24" spans="1:10" ht="10.5">
      <c r="A24" s="90">
        <f t="shared" si="0"/>
        <v>70</v>
      </c>
      <c r="B24" s="91">
        <f>B23+31</f>
        <v>34665</v>
      </c>
      <c r="C24" s="92">
        <f t="shared" si="3"/>
        <v>21540.38</v>
      </c>
      <c r="D24" s="93">
        <f>6.49+18.16</f>
        <v>24.65</v>
      </c>
      <c r="E24" s="92">
        <f t="shared" si="4"/>
        <v>191.709382</v>
      </c>
      <c r="F24" s="92">
        <f t="shared" si="1"/>
        <v>-63.529382</v>
      </c>
      <c r="G24" s="92">
        <v>152.83</v>
      </c>
      <c r="H24" s="94">
        <v>1</v>
      </c>
      <c r="I24" s="106">
        <v>22151.45</v>
      </c>
      <c r="J24" s="108">
        <f t="shared" si="2"/>
        <v>1.0283685803128821</v>
      </c>
    </row>
    <row r="25" spans="1:10" ht="10.5">
      <c r="A25" s="90">
        <f t="shared" si="0"/>
        <v>71</v>
      </c>
      <c r="B25" s="91">
        <f>B24+30</f>
        <v>34695</v>
      </c>
      <c r="C25" s="92">
        <f t="shared" si="3"/>
        <v>22151.45</v>
      </c>
      <c r="D25" s="93">
        <f>11.73+32.82</f>
        <v>44.55</v>
      </c>
      <c r="E25" s="92">
        <f t="shared" si="4"/>
        <v>197.147905</v>
      </c>
      <c r="F25" s="92">
        <f t="shared" si="1"/>
        <v>34.55209499999998</v>
      </c>
      <c r="G25" s="92">
        <v>276.25</v>
      </c>
      <c r="H25" s="94">
        <v>1.807619</v>
      </c>
      <c r="I25" s="106">
        <v>22822.23</v>
      </c>
      <c r="J25" s="108">
        <f t="shared" si="2"/>
        <v>1.0302815391317497</v>
      </c>
    </row>
    <row r="26" spans="1:10" ht="10.5">
      <c r="A26" s="90">
        <f t="shared" si="0"/>
        <v>72</v>
      </c>
      <c r="B26" s="91">
        <f>B25+31</f>
        <v>34726</v>
      </c>
      <c r="C26" s="92">
        <f t="shared" si="3"/>
        <v>22822.23</v>
      </c>
      <c r="D26" s="93">
        <f>11.73+32.82</f>
        <v>44.55</v>
      </c>
      <c r="E26" s="92">
        <f t="shared" si="4"/>
        <v>203.11784699999998</v>
      </c>
      <c r="F26" s="92">
        <f t="shared" si="1"/>
        <v>28.582153000000005</v>
      </c>
      <c r="G26" s="92">
        <v>276.25</v>
      </c>
      <c r="H26" s="94">
        <v>1</v>
      </c>
      <c r="I26" s="106">
        <v>23286.87</v>
      </c>
      <c r="J26" s="108">
        <f t="shared" si="2"/>
        <v>1.0203590972486036</v>
      </c>
    </row>
    <row r="27" spans="1:10" ht="10.5">
      <c r="A27" s="90">
        <f>A26+1</f>
        <v>73</v>
      </c>
      <c r="B27" s="91">
        <f>B26+31</f>
        <v>34757</v>
      </c>
      <c r="C27" s="92">
        <f>I26</f>
        <v>23286.87</v>
      </c>
      <c r="D27" s="93">
        <f aca="true" t="shared" si="5" ref="D27:D36">11.73+32.82</f>
        <v>44.55</v>
      </c>
      <c r="E27" s="92">
        <f t="shared" si="4"/>
        <v>207.253143</v>
      </c>
      <c r="F27" s="92">
        <f aca="true" t="shared" si="6" ref="F27:F38">G27-D27-E27</f>
        <v>24.446856999999994</v>
      </c>
      <c r="G27" s="92">
        <v>276.25</v>
      </c>
      <c r="H27" s="94">
        <v>1</v>
      </c>
      <c r="I27" s="106">
        <v>23789.94</v>
      </c>
      <c r="J27" s="108">
        <f>I27/I26</f>
        <v>1.021603160922872</v>
      </c>
    </row>
    <row r="28" spans="1:10" ht="10.5">
      <c r="A28" s="90">
        <f aca="true" t="shared" si="7" ref="A28:A38">A27+1</f>
        <v>74</v>
      </c>
      <c r="B28" s="91">
        <f>B27+28</f>
        <v>34785</v>
      </c>
      <c r="C28" s="92">
        <f aca="true" t="shared" si="8" ref="C28:C38">I27</f>
        <v>23789.94</v>
      </c>
      <c r="D28" s="93">
        <f t="shared" si="5"/>
        <v>44.55</v>
      </c>
      <c r="E28" s="92">
        <f t="shared" si="4"/>
        <v>211.73046599999998</v>
      </c>
      <c r="F28" s="92">
        <f t="shared" si="6"/>
        <v>19.96953400000001</v>
      </c>
      <c r="G28" s="92">
        <v>276.25</v>
      </c>
      <c r="H28" s="94">
        <v>1</v>
      </c>
      <c r="I28" s="106">
        <v>24087.55</v>
      </c>
      <c r="J28" s="108">
        <f t="shared" si="2"/>
        <v>1.012509909650886</v>
      </c>
    </row>
    <row r="29" spans="1:10" ht="10.5">
      <c r="A29" s="90">
        <f t="shared" si="7"/>
        <v>75</v>
      </c>
      <c r="B29" s="91">
        <f>B28+31</f>
        <v>34816</v>
      </c>
      <c r="C29" s="92">
        <f t="shared" si="8"/>
        <v>24087.55</v>
      </c>
      <c r="D29" s="93">
        <f t="shared" si="5"/>
        <v>44.55</v>
      </c>
      <c r="E29" s="92">
        <f t="shared" si="4"/>
        <v>214.37919499999998</v>
      </c>
      <c r="F29" s="92">
        <f t="shared" si="6"/>
        <v>17.320805000000007</v>
      </c>
      <c r="G29" s="92">
        <v>276.25</v>
      </c>
      <c r="H29" s="94">
        <v>1</v>
      </c>
      <c r="I29" s="106">
        <v>25048.73</v>
      </c>
      <c r="J29" s="108">
        <f t="shared" si="2"/>
        <v>1.0399036016531362</v>
      </c>
    </row>
    <row r="30" spans="1:10" ht="10.5">
      <c r="A30" s="90">
        <f t="shared" si="7"/>
        <v>76</v>
      </c>
      <c r="B30" s="91">
        <f>B29+30</f>
        <v>34846</v>
      </c>
      <c r="C30" s="92">
        <f t="shared" si="8"/>
        <v>25048.73</v>
      </c>
      <c r="D30" s="93">
        <f t="shared" si="5"/>
        <v>44.55</v>
      </c>
      <c r="E30" s="92">
        <f t="shared" si="4"/>
        <v>222.933697</v>
      </c>
      <c r="F30" s="92">
        <f t="shared" si="6"/>
        <v>8.766302999999994</v>
      </c>
      <c r="G30" s="92">
        <v>276.25</v>
      </c>
      <c r="H30" s="94">
        <v>1</v>
      </c>
      <c r="I30" s="106">
        <v>25780.39</v>
      </c>
      <c r="J30" s="108">
        <f t="shared" si="2"/>
        <v>1.0292094649109955</v>
      </c>
    </row>
    <row r="31" spans="1:10" ht="10.5">
      <c r="A31" s="90">
        <f t="shared" si="7"/>
        <v>77</v>
      </c>
      <c r="B31" s="91">
        <f>B30+31</f>
        <v>34877</v>
      </c>
      <c r="C31" s="92">
        <f t="shared" si="8"/>
        <v>25780.39</v>
      </c>
      <c r="D31" s="93">
        <f t="shared" si="5"/>
        <v>44.55</v>
      </c>
      <c r="E31" s="92">
        <f t="shared" si="4"/>
        <v>229.445471</v>
      </c>
      <c r="F31" s="92">
        <f t="shared" si="6"/>
        <v>2.254528999999991</v>
      </c>
      <c r="G31" s="92">
        <v>276.25</v>
      </c>
      <c r="H31" s="94">
        <v>1</v>
      </c>
      <c r="I31" s="106">
        <v>26450.54</v>
      </c>
      <c r="J31" s="108">
        <f t="shared" si="2"/>
        <v>1.0259945640853378</v>
      </c>
    </row>
    <row r="32" spans="1:10" ht="10.5">
      <c r="A32" s="90">
        <f t="shared" si="7"/>
        <v>78</v>
      </c>
      <c r="B32" s="91">
        <f>B31+30</f>
        <v>34907</v>
      </c>
      <c r="C32" s="92">
        <f t="shared" si="8"/>
        <v>26450.54</v>
      </c>
      <c r="D32" s="93">
        <f t="shared" si="5"/>
        <v>44.55</v>
      </c>
      <c r="E32" s="92">
        <f t="shared" si="4"/>
        <v>235.409806</v>
      </c>
      <c r="F32" s="92">
        <f t="shared" si="6"/>
        <v>-3.7098060000000146</v>
      </c>
      <c r="G32" s="92">
        <v>276.25</v>
      </c>
      <c r="H32" s="94">
        <v>1</v>
      </c>
      <c r="I32" s="106">
        <v>27237.5</v>
      </c>
      <c r="J32" s="108">
        <f t="shared" si="2"/>
        <v>1.0297521336048336</v>
      </c>
    </row>
    <row r="33" spans="1:10" ht="10.5">
      <c r="A33" s="90">
        <f t="shared" si="7"/>
        <v>79</v>
      </c>
      <c r="B33" s="91">
        <f>B32+31</f>
        <v>34938</v>
      </c>
      <c r="C33" s="92">
        <f t="shared" si="8"/>
        <v>27237.5</v>
      </c>
      <c r="D33" s="93">
        <f t="shared" si="5"/>
        <v>44.55</v>
      </c>
      <c r="E33" s="92">
        <f t="shared" si="4"/>
        <v>242.41375</v>
      </c>
      <c r="F33" s="92">
        <f t="shared" si="6"/>
        <v>-10.713750000000005</v>
      </c>
      <c r="G33" s="92">
        <v>276.25</v>
      </c>
      <c r="H33" s="94">
        <v>1</v>
      </c>
      <c r="I33" s="106">
        <v>27946.2</v>
      </c>
      <c r="J33" s="108">
        <f t="shared" si="2"/>
        <v>1.0260192748967416</v>
      </c>
    </row>
    <row r="34" spans="1:10" ht="10.5">
      <c r="A34" s="90">
        <f t="shared" si="7"/>
        <v>80</v>
      </c>
      <c r="B34" s="91">
        <f>B33+31</f>
        <v>34969</v>
      </c>
      <c r="C34" s="92">
        <f t="shared" si="8"/>
        <v>27946.2</v>
      </c>
      <c r="D34" s="93">
        <f t="shared" si="5"/>
        <v>44.55</v>
      </c>
      <c r="E34" s="92">
        <f t="shared" si="4"/>
        <v>248.72118</v>
      </c>
      <c r="F34" s="92">
        <f t="shared" si="6"/>
        <v>-17.021180000000015</v>
      </c>
      <c r="G34" s="92">
        <v>276.25</v>
      </c>
      <c r="H34" s="94">
        <v>1</v>
      </c>
      <c r="I34" s="106">
        <v>28530.72</v>
      </c>
      <c r="J34" s="108">
        <f t="shared" si="2"/>
        <v>1.0209159026987569</v>
      </c>
    </row>
    <row r="35" spans="1:10" ht="10.5">
      <c r="A35" s="90">
        <f t="shared" si="7"/>
        <v>81</v>
      </c>
      <c r="B35" s="91">
        <f>B34+30</f>
        <v>34999</v>
      </c>
      <c r="C35" s="92">
        <f t="shared" si="8"/>
        <v>28530.72</v>
      </c>
      <c r="D35" s="93">
        <f t="shared" si="5"/>
        <v>44.55</v>
      </c>
      <c r="E35" s="92">
        <f t="shared" si="4"/>
        <v>253.923408</v>
      </c>
      <c r="F35" s="92">
        <f t="shared" si="6"/>
        <v>-22.223408000000006</v>
      </c>
      <c r="G35" s="92">
        <v>276.25</v>
      </c>
      <c r="H35" s="94">
        <v>1</v>
      </c>
      <c r="I35" s="106">
        <v>29004.96</v>
      </c>
      <c r="J35" s="108">
        <f t="shared" si="2"/>
        <v>1.0166220831440635</v>
      </c>
    </row>
    <row r="36" spans="1:10" ht="10.5">
      <c r="A36" s="90">
        <f t="shared" si="7"/>
        <v>82</v>
      </c>
      <c r="B36" s="91">
        <f>B35+31</f>
        <v>35030</v>
      </c>
      <c r="C36" s="92">
        <f t="shared" si="8"/>
        <v>29004.96</v>
      </c>
      <c r="D36" s="93">
        <f t="shared" si="5"/>
        <v>44.55</v>
      </c>
      <c r="E36" s="92">
        <f t="shared" si="4"/>
        <v>258.144144</v>
      </c>
      <c r="F36" s="92">
        <f t="shared" si="6"/>
        <v>-26.444143999999994</v>
      </c>
      <c r="G36" s="92">
        <v>276.25</v>
      </c>
      <c r="H36" s="94">
        <v>1</v>
      </c>
      <c r="I36" s="106">
        <v>29375.25</v>
      </c>
      <c r="J36" s="108">
        <f t="shared" si="2"/>
        <v>1.012766437188674</v>
      </c>
    </row>
    <row r="37" spans="1:10" ht="10.5">
      <c r="A37" s="90">
        <f t="shared" si="7"/>
        <v>83</v>
      </c>
      <c r="B37" s="91">
        <f>B36+30</f>
        <v>35060</v>
      </c>
      <c r="C37" s="92">
        <f t="shared" si="8"/>
        <v>29375.25</v>
      </c>
      <c r="D37" s="93">
        <f>15.32+42.87</f>
        <v>58.19</v>
      </c>
      <c r="E37" s="92">
        <f t="shared" si="4"/>
        <v>261.439725</v>
      </c>
      <c r="F37" s="92">
        <f t="shared" si="6"/>
        <v>41.25027499999999</v>
      </c>
      <c r="G37" s="92">
        <v>360.88</v>
      </c>
      <c r="H37" s="94">
        <v>1.306403</v>
      </c>
      <c r="I37" s="106">
        <v>29756.25</v>
      </c>
      <c r="J37" s="108">
        <f t="shared" si="2"/>
        <v>1.0129701023821074</v>
      </c>
    </row>
    <row r="38" spans="1:10" ht="10.5">
      <c r="A38" s="90">
        <f t="shared" si="7"/>
        <v>84</v>
      </c>
      <c r="B38" s="91">
        <f>B37+31</f>
        <v>35091</v>
      </c>
      <c r="C38" s="92">
        <f t="shared" si="8"/>
        <v>29756.25</v>
      </c>
      <c r="D38" s="93">
        <f>15.32+42.87</f>
        <v>58.19</v>
      </c>
      <c r="E38" s="92">
        <f t="shared" si="4"/>
        <v>264.830625</v>
      </c>
      <c r="F38" s="92">
        <f t="shared" si="6"/>
        <v>37.859375</v>
      </c>
      <c r="G38" s="92">
        <v>360.88</v>
      </c>
      <c r="H38" s="94">
        <v>1</v>
      </c>
      <c r="I38" s="106">
        <v>30049.85</v>
      </c>
      <c r="J38" s="108">
        <f t="shared" si="2"/>
        <v>1.0098668346985926</v>
      </c>
    </row>
    <row r="39" spans="1:10" ht="10.5">
      <c r="A39" s="90">
        <f>A38+1</f>
        <v>85</v>
      </c>
      <c r="B39" s="91">
        <f>B38+31</f>
        <v>35122</v>
      </c>
      <c r="C39" s="92">
        <f>I38</f>
        <v>30049.85</v>
      </c>
      <c r="D39" s="93">
        <f aca="true" t="shared" si="9" ref="D39:D48">15.32+42.87</f>
        <v>58.19</v>
      </c>
      <c r="E39" s="92">
        <f t="shared" si="4"/>
        <v>267.443665</v>
      </c>
      <c r="F39" s="92">
        <f aca="true" t="shared" si="10" ref="F39:F50">G39-D39-E39</f>
        <v>35.24633499999999</v>
      </c>
      <c r="G39" s="92">
        <v>360.88</v>
      </c>
      <c r="H39" s="94">
        <v>1</v>
      </c>
      <c r="I39" s="106">
        <f>(C39*J39)-G39</f>
        <v>29948.690853549997</v>
      </c>
      <c r="J39" s="108">
        <v>1.008643</v>
      </c>
    </row>
    <row r="40" spans="1:10" ht="10.5">
      <c r="A40" s="90">
        <f aca="true" t="shared" si="11" ref="A40:A50">A39+1</f>
        <v>86</v>
      </c>
      <c r="B40" s="91">
        <f>B39+29</f>
        <v>35151</v>
      </c>
      <c r="C40" s="92">
        <f>I39</f>
        <v>29948.690853549997</v>
      </c>
      <c r="D40" s="93">
        <f t="shared" si="9"/>
        <v>58.19</v>
      </c>
      <c r="E40" s="92">
        <f t="shared" si="4"/>
        <v>266.54334859659497</v>
      </c>
      <c r="F40" s="92">
        <f t="shared" si="10"/>
        <v>36.14665140340503</v>
      </c>
      <c r="G40" s="92">
        <v>360.88</v>
      </c>
      <c r="H40" s="94">
        <v>1</v>
      </c>
      <c r="I40" s="106">
        <f aca="true" t="shared" si="12" ref="I40:I50">(C40*H40)-G40</f>
        <v>29587.810853549996</v>
      </c>
      <c r="J40" s="108">
        <v>1.008245</v>
      </c>
    </row>
    <row r="41" spans="1:10" ht="10.5">
      <c r="A41" s="90">
        <f t="shared" si="11"/>
        <v>87</v>
      </c>
      <c r="B41" s="91">
        <f>B40+31</f>
        <v>35182</v>
      </c>
      <c r="C41" s="92">
        <f aca="true" t="shared" si="13" ref="C41:C50">I40</f>
        <v>29587.810853549996</v>
      </c>
      <c r="D41" s="93">
        <f t="shared" si="9"/>
        <v>58.19</v>
      </c>
      <c r="E41" s="92">
        <f t="shared" si="4"/>
        <v>263.33151659659495</v>
      </c>
      <c r="F41" s="92">
        <f t="shared" si="10"/>
        <v>39.358483403405046</v>
      </c>
      <c r="G41" s="92">
        <v>360.88</v>
      </c>
      <c r="H41" s="94">
        <v>1</v>
      </c>
      <c r="I41" s="106">
        <f t="shared" si="12"/>
        <v>29226.930853549995</v>
      </c>
      <c r="J41" s="108">
        <v>1.004186</v>
      </c>
    </row>
    <row r="42" spans="1:10" ht="10.5">
      <c r="A42" s="90">
        <f t="shared" si="11"/>
        <v>88</v>
      </c>
      <c r="B42" s="91">
        <f>B41+30</f>
        <v>35212</v>
      </c>
      <c r="C42" s="92">
        <f t="shared" si="13"/>
        <v>29226.930853549995</v>
      </c>
      <c r="D42" s="93">
        <f t="shared" si="9"/>
        <v>58.19</v>
      </c>
      <c r="E42" s="92">
        <f t="shared" si="4"/>
        <v>260.11968459659494</v>
      </c>
      <c r="F42" s="92">
        <f t="shared" si="10"/>
        <v>42.57031540340506</v>
      </c>
      <c r="G42" s="92">
        <v>360.88</v>
      </c>
      <c r="H42" s="94">
        <v>1</v>
      </c>
      <c r="I42" s="106">
        <f t="shared" si="12"/>
        <v>28866.050853549994</v>
      </c>
      <c r="J42" s="108">
        <v>1.007243</v>
      </c>
    </row>
    <row r="43" spans="1:10" ht="10.5">
      <c r="A43" s="90">
        <f t="shared" si="11"/>
        <v>89</v>
      </c>
      <c r="B43" s="91">
        <f>B42+31</f>
        <v>35243</v>
      </c>
      <c r="C43" s="92">
        <f t="shared" si="13"/>
        <v>28866.050853549994</v>
      </c>
      <c r="D43" s="93">
        <f t="shared" si="9"/>
        <v>58.19</v>
      </c>
      <c r="E43" s="92">
        <f t="shared" si="4"/>
        <v>256.9078525965949</v>
      </c>
      <c r="F43" s="92">
        <f t="shared" si="10"/>
        <v>45.78214740340508</v>
      </c>
      <c r="G43" s="92">
        <v>360.88</v>
      </c>
      <c r="H43" s="94">
        <v>1</v>
      </c>
      <c r="I43" s="106">
        <f t="shared" si="12"/>
        <v>28505.170853549993</v>
      </c>
      <c r="J43" s="108">
        <v>1.004851</v>
      </c>
    </row>
    <row r="44" spans="1:10" ht="10.5">
      <c r="A44" s="90">
        <f t="shared" si="11"/>
        <v>90</v>
      </c>
      <c r="B44" s="91">
        <f>B43+30</f>
        <v>35273</v>
      </c>
      <c r="C44" s="92">
        <f t="shared" si="13"/>
        <v>28505.170853549993</v>
      </c>
      <c r="D44" s="93">
        <f t="shared" si="9"/>
        <v>58.19</v>
      </c>
      <c r="E44" s="92">
        <f t="shared" si="4"/>
        <v>253.69602059659493</v>
      </c>
      <c r="F44" s="92">
        <f t="shared" si="10"/>
        <v>48.99397940340506</v>
      </c>
      <c r="G44" s="92">
        <v>360.88</v>
      </c>
      <c r="H44" s="94">
        <v>1</v>
      </c>
      <c r="I44" s="106">
        <f t="shared" si="12"/>
        <v>28144.290853549992</v>
      </c>
      <c r="J44" s="108">
        <v>1.004355</v>
      </c>
    </row>
    <row r="45" spans="1:10" ht="10.5">
      <c r="A45" s="90">
        <f t="shared" si="11"/>
        <v>91</v>
      </c>
      <c r="B45" s="91">
        <f>B44+31</f>
        <v>35304</v>
      </c>
      <c r="C45" s="92">
        <f t="shared" si="13"/>
        <v>28144.290853549992</v>
      </c>
      <c r="D45" s="93">
        <f t="shared" si="9"/>
        <v>58.19</v>
      </c>
      <c r="E45" s="92">
        <f t="shared" si="4"/>
        <v>250.48418859659492</v>
      </c>
      <c r="F45" s="92">
        <f t="shared" si="10"/>
        <v>52.20581140340508</v>
      </c>
      <c r="G45" s="92">
        <v>360.88</v>
      </c>
      <c r="H45" s="94">
        <v>1</v>
      </c>
      <c r="I45" s="106">
        <f t="shared" si="12"/>
        <v>27783.41085354999</v>
      </c>
      <c r="J45" s="108">
        <v>1.007683</v>
      </c>
    </row>
    <row r="46" spans="1:10" ht="10.5">
      <c r="A46" s="90">
        <f t="shared" si="11"/>
        <v>92</v>
      </c>
      <c r="B46" s="91">
        <f>B45+31</f>
        <v>35335</v>
      </c>
      <c r="C46" s="92">
        <f t="shared" si="13"/>
        <v>27783.41085354999</v>
      </c>
      <c r="D46" s="93">
        <f t="shared" si="9"/>
        <v>58.19</v>
      </c>
      <c r="E46" s="92">
        <f t="shared" si="4"/>
        <v>247.2723565965949</v>
      </c>
      <c r="F46" s="92">
        <f t="shared" si="10"/>
        <v>55.417643403405094</v>
      </c>
      <c r="G46" s="92">
        <v>360.88</v>
      </c>
      <c r="H46" s="94">
        <v>1</v>
      </c>
      <c r="I46" s="106">
        <f t="shared" si="12"/>
        <v>27422.53085354999</v>
      </c>
      <c r="J46" s="108">
        <v>1.005443</v>
      </c>
    </row>
    <row r="47" spans="1:10" ht="10.5">
      <c r="A47" s="90">
        <f t="shared" si="11"/>
        <v>93</v>
      </c>
      <c r="B47" s="91">
        <f>B46+30</f>
        <v>35365</v>
      </c>
      <c r="C47" s="92">
        <f t="shared" si="13"/>
        <v>27422.53085354999</v>
      </c>
      <c r="D47" s="93">
        <f t="shared" si="9"/>
        <v>58.19</v>
      </c>
      <c r="E47" s="92">
        <f t="shared" si="4"/>
        <v>244.06052459659492</v>
      </c>
      <c r="F47" s="92">
        <f t="shared" si="10"/>
        <v>58.62947540340508</v>
      </c>
      <c r="G47" s="92">
        <v>360.88</v>
      </c>
      <c r="H47" s="94">
        <v>1</v>
      </c>
      <c r="I47" s="106">
        <f t="shared" si="12"/>
        <v>27061.65085354999</v>
      </c>
      <c r="J47" s="108">
        <v>1.007248</v>
      </c>
    </row>
    <row r="48" spans="1:10" ht="10.5">
      <c r="A48" s="90">
        <f t="shared" si="11"/>
        <v>94</v>
      </c>
      <c r="B48" s="91">
        <f>B47+31</f>
        <v>35396</v>
      </c>
      <c r="C48" s="92">
        <f t="shared" si="13"/>
        <v>27061.65085354999</v>
      </c>
      <c r="D48" s="93">
        <f t="shared" si="9"/>
        <v>58.19</v>
      </c>
      <c r="E48" s="92">
        <f t="shared" si="4"/>
        <v>240.8486925965949</v>
      </c>
      <c r="F48" s="92">
        <f t="shared" si="10"/>
        <v>61.8413074034051</v>
      </c>
      <c r="G48" s="92">
        <v>360.88</v>
      </c>
      <c r="H48" s="94">
        <v>1</v>
      </c>
      <c r="I48" s="106">
        <f t="shared" si="12"/>
        <v>26700.770853549988</v>
      </c>
      <c r="J48" s="108">
        <v>1.007922</v>
      </c>
    </row>
    <row r="49" spans="1:10" ht="10.5">
      <c r="A49" s="90">
        <f t="shared" si="11"/>
        <v>95</v>
      </c>
      <c r="B49" s="91">
        <f>B48+30</f>
        <v>35426</v>
      </c>
      <c r="C49" s="92">
        <f t="shared" si="13"/>
        <v>26700.770853549988</v>
      </c>
      <c r="D49" s="93">
        <f>16.97+58.03</f>
        <v>75</v>
      </c>
      <c r="E49" s="92">
        <f t="shared" si="4"/>
        <v>237.6368605965949</v>
      </c>
      <c r="F49" s="92">
        <f t="shared" si="10"/>
        <v>172.2031394034051</v>
      </c>
      <c r="G49" s="92">
        <v>484.84</v>
      </c>
      <c r="H49" s="94">
        <f>G49/G48</f>
        <v>1.3434936821103967</v>
      </c>
      <c r="I49" s="106">
        <f t="shared" si="12"/>
        <v>35387.47694922183</v>
      </c>
      <c r="J49" s="108">
        <v>1.007909</v>
      </c>
    </row>
    <row r="50" spans="1:10" ht="10.5">
      <c r="A50" s="90">
        <f t="shared" si="11"/>
        <v>96</v>
      </c>
      <c r="B50" s="91">
        <f>B49+31</f>
        <v>35457</v>
      </c>
      <c r="C50" s="92">
        <f t="shared" si="13"/>
        <v>35387.47694922183</v>
      </c>
      <c r="D50" s="93">
        <f>16.97+58.03</f>
        <v>75</v>
      </c>
      <c r="E50" s="92">
        <f t="shared" si="4"/>
        <v>314.94854484807433</v>
      </c>
      <c r="F50" s="92">
        <f t="shared" si="10"/>
        <v>94.89145515192564</v>
      </c>
      <c r="G50" s="92">
        <v>484.84</v>
      </c>
      <c r="H50" s="94">
        <v>1</v>
      </c>
      <c r="I50" s="106">
        <f t="shared" si="12"/>
        <v>34902.63694922184</v>
      </c>
      <c r="J50" s="108">
        <v>1.007975</v>
      </c>
    </row>
    <row r="51" spans="1:10" ht="10.5">
      <c r="A51" s="90">
        <f aca="true" t="shared" si="14" ref="A51:A56">A50+1</f>
        <v>97</v>
      </c>
      <c r="B51" s="91">
        <f>B50+31</f>
        <v>35488</v>
      </c>
      <c r="C51" s="92">
        <f aca="true" t="shared" si="15" ref="C51:C56">I50</f>
        <v>34902.63694922184</v>
      </c>
      <c r="D51" s="93">
        <f aca="true" t="shared" si="16" ref="D51:D56">16.97+58.03</f>
        <v>75</v>
      </c>
      <c r="E51" s="92">
        <f t="shared" si="4"/>
        <v>310.63346884807436</v>
      </c>
      <c r="F51" s="92">
        <f aca="true" t="shared" si="17" ref="F51:F56">G51-D51-E51</f>
        <v>99.20653115192562</v>
      </c>
      <c r="G51" s="92">
        <v>484.84</v>
      </c>
      <c r="H51" s="94">
        <v>1</v>
      </c>
      <c r="I51" s="106">
        <f>(C51*H51)-G51</f>
        <v>34417.79694922184</v>
      </c>
      <c r="J51" s="108">
        <v>1.0073</v>
      </c>
    </row>
    <row r="52" spans="1:10" ht="10.5">
      <c r="A52" s="90">
        <f t="shared" si="14"/>
        <v>98</v>
      </c>
      <c r="B52" s="91">
        <f>B51+28</f>
        <v>35516</v>
      </c>
      <c r="C52" s="92">
        <f t="shared" si="15"/>
        <v>34417.79694922184</v>
      </c>
      <c r="D52" s="93">
        <f t="shared" si="16"/>
        <v>75</v>
      </c>
      <c r="E52" s="92">
        <f t="shared" si="4"/>
        <v>306.3183928480744</v>
      </c>
      <c r="F52" s="92">
        <f t="shared" si="17"/>
        <v>103.5216071519256</v>
      </c>
      <c r="G52" s="92">
        <v>484.84</v>
      </c>
      <c r="H52" s="94">
        <v>1</v>
      </c>
      <c r="I52" s="106">
        <f>(C52*H52)-G52</f>
        <v>33932.95694922184</v>
      </c>
      <c r="J52" s="108">
        <v>1.005202</v>
      </c>
    </row>
    <row r="53" spans="1:10" ht="10.5">
      <c r="A53" s="90">
        <f t="shared" si="14"/>
        <v>99</v>
      </c>
      <c r="B53" s="91">
        <f>B52+31</f>
        <v>35547</v>
      </c>
      <c r="C53" s="92">
        <f t="shared" si="15"/>
        <v>33932.95694922184</v>
      </c>
      <c r="D53" s="93">
        <f t="shared" si="16"/>
        <v>75</v>
      </c>
      <c r="E53" s="92">
        <f t="shared" si="4"/>
        <v>302.0033168480744</v>
      </c>
      <c r="F53" s="92">
        <f t="shared" si="17"/>
        <v>107.83668315192557</v>
      </c>
      <c r="G53" s="92">
        <v>484.84</v>
      </c>
      <c r="H53" s="94">
        <v>1</v>
      </c>
      <c r="I53" s="106">
        <f>(C53*H53)-G53</f>
        <v>33448.11694922185</v>
      </c>
      <c r="J53" s="108">
        <v>1.006082</v>
      </c>
    </row>
    <row r="54" spans="1:10" ht="10.5">
      <c r="A54" s="90">
        <f t="shared" si="14"/>
        <v>100</v>
      </c>
      <c r="B54" s="91">
        <f>B53+30</f>
        <v>35577</v>
      </c>
      <c r="C54" s="92">
        <f t="shared" si="15"/>
        <v>33448.11694922185</v>
      </c>
      <c r="D54" s="93">
        <f t="shared" si="16"/>
        <v>75</v>
      </c>
      <c r="E54" s="92">
        <f t="shared" si="4"/>
        <v>297.68824084807443</v>
      </c>
      <c r="F54" s="92">
        <f t="shared" si="17"/>
        <v>112.15175915192555</v>
      </c>
      <c r="G54" s="92">
        <v>484.84</v>
      </c>
      <c r="H54" s="94">
        <v>1</v>
      </c>
      <c r="I54" s="106">
        <f>(C54*H54)-G54</f>
        <v>32963.27694922185</v>
      </c>
      <c r="J54" s="108">
        <v>1.007075</v>
      </c>
    </row>
    <row r="55" spans="1:10" ht="10.5">
      <c r="A55" s="90">
        <f t="shared" si="14"/>
        <v>101</v>
      </c>
      <c r="B55" s="91">
        <f>B54+31</f>
        <v>35608</v>
      </c>
      <c r="C55" s="92">
        <f t="shared" si="15"/>
        <v>32963.27694922185</v>
      </c>
      <c r="D55" s="93">
        <f t="shared" si="16"/>
        <v>75</v>
      </c>
      <c r="E55" s="92">
        <f t="shared" si="4"/>
        <v>293.37316484807445</v>
      </c>
      <c r="F55" s="92">
        <f t="shared" si="17"/>
        <v>116.46683515192552</v>
      </c>
      <c r="G55" s="92">
        <v>484.84</v>
      </c>
      <c r="H55" s="94">
        <v>1</v>
      </c>
      <c r="I55" s="106">
        <v>32224.82</v>
      </c>
      <c r="J55" s="108">
        <f t="shared" si="2"/>
        <v>0.977597586843098</v>
      </c>
    </row>
    <row r="56" spans="1:10" ht="10.5">
      <c r="A56" s="90">
        <f t="shared" si="14"/>
        <v>102</v>
      </c>
      <c r="B56" s="91">
        <f>B55+30</f>
        <v>35638</v>
      </c>
      <c r="C56" s="92">
        <f t="shared" si="15"/>
        <v>32224.82</v>
      </c>
      <c r="D56" s="93">
        <f t="shared" si="16"/>
        <v>75</v>
      </c>
      <c r="E56" s="92">
        <f t="shared" si="4"/>
        <v>286.800898</v>
      </c>
      <c r="F56" s="92">
        <f t="shared" si="17"/>
        <v>123.03910199999996</v>
      </c>
      <c r="G56" s="92">
        <v>484.84</v>
      </c>
      <c r="H56" s="94">
        <v>1</v>
      </c>
      <c r="I56" s="106">
        <v>39459.95</v>
      </c>
      <c r="J56" s="108">
        <f t="shared" si="2"/>
        <v>1.2245204162505794</v>
      </c>
    </row>
    <row r="60" spans="1:10" ht="10.5">
      <c r="A60" s="63"/>
      <c r="J60" s="65" t="s">
        <v>126</v>
      </c>
    </row>
    <row r="61" spans="1:10" ht="10.5">
      <c r="A61" s="63"/>
      <c r="J61" s="65" t="s">
        <v>81</v>
      </c>
    </row>
    <row r="62" spans="1:9" ht="10.5">
      <c r="A62" s="63"/>
      <c r="I62" s="65"/>
    </row>
    <row r="63" spans="1:9" ht="10.5">
      <c r="A63" s="137" t="s">
        <v>181</v>
      </c>
      <c r="B63" s="137"/>
      <c r="C63" s="137"/>
      <c r="D63" s="137"/>
      <c r="I63" s="60"/>
    </row>
    <row r="64" spans="1:4" ht="10.5">
      <c r="A64" s="137" t="s">
        <v>182</v>
      </c>
      <c r="B64" s="137"/>
      <c r="C64" s="137"/>
      <c r="D64" s="137"/>
    </row>
    <row r="65" ht="10.5">
      <c r="A65" s="60"/>
    </row>
    <row r="66" spans="1:2" ht="10.5">
      <c r="A66" s="60"/>
      <c r="B66" s="60" t="s">
        <v>73</v>
      </c>
    </row>
    <row r="67" spans="1:2" ht="10.5">
      <c r="A67" s="60"/>
      <c r="B67" s="60" t="s">
        <v>84</v>
      </c>
    </row>
    <row r="68" ht="10.5">
      <c r="D68" s="60" t="s">
        <v>88</v>
      </c>
    </row>
    <row r="69" ht="11.25" thickBot="1"/>
    <row r="70" spans="1:10" ht="12" thickBot="1" thickTop="1">
      <c r="A70" s="82" t="s">
        <v>66</v>
      </c>
      <c r="B70" s="82" t="s">
        <v>5</v>
      </c>
      <c r="C70" s="82" t="s">
        <v>6</v>
      </c>
      <c r="D70" s="83" t="s">
        <v>74</v>
      </c>
      <c r="E70" s="82" t="s">
        <v>87</v>
      </c>
      <c r="F70" s="82" t="s">
        <v>105</v>
      </c>
      <c r="G70" s="82" t="s">
        <v>26</v>
      </c>
      <c r="H70" s="82" t="s">
        <v>67</v>
      </c>
      <c r="I70" s="82" t="s">
        <v>9</v>
      </c>
      <c r="J70" s="82" t="s">
        <v>8</v>
      </c>
    </row>
    <row r="71" spans="1:10" ht="11.25" thickTop="1">
      <c r="A71" s="84" t="s">
        <v>64</v>
      </c>
      <c r="B71" s="84"/>
      <c r="C71" s="84" t="s">
        <v>10</v>
      </c>
      <c r="D71" s="85" t="s">
        <v>57</v>
      </c>
      <c r="E71" s="84"/>
      <c r="F71" s="84"/>
      <c r="G71" s="84" t="s">
        <v>76</v>
      </c>
      <c r="H71" s="84" t="s">
        <v>68</v>
      </c>
      <c r="I71" s="84" t="s">
        <v>28</v>
      </c>
      <c r="J71" s="84" t="s">
        <v>82</v>
      </c>
    </row>
    <row r="72" spans="1:10" ht="11.25" thickBot="1">
      <c r="A72" s="86" t="s">
        <v>65</v>
      </c>
      <c r="B72" s="86"/>
      <c r="C72" s="86"/>
      <c r="D72" s="87"/>
      <c r="E72" s="86" t="s">
        <v>11</v>
      </c>
      <c r="F72" s="86"/>
      <c r="G72" s="86"/>
      <c r="H72" s="86"/>
      <c r="I72" s="86" t="s">
        <v>11</v>
      </c>
      <c r="J72" s="109">
        <v>8.9E-05</v>
      </c>
    </row>
    <row r="73" ht="11.25" thickTop="1"/>
    <row r="74" spans="1:10" ht="10.5">
      <c r="A74" s="90">
        <f>A56+1</f>
        <v>103</v>
      </c>
      <c r="B74" s="91">
        <f>B56+31</f>
        <v>35669</v>
      </c>
      <c r="C74" s="92">
        <f>I56</f>
        <v>39459.95</v>
      </c>
      <c r="D74" s="93">
        <f>16.97+58.03</f>
        <v>75</v>
      </c>
      <c r="E74" s="92">
        <f>I56*0.0089</f>
        <v>351.19355499999995</v>
      </c>
      <c r="F74" s="92">
        <f aca="true" t="shared" si="18" ref="F74:F79">G74-D74-E74</f>
        <v>58.64644500000003</v>
      </c>
      <c r="G74" s="92">
        <v>484.84</v>
      </c>
      <c r="H74" s="94">
        <v>1</v>
      </c>
      <c r="I74" s="106">
        <v>39599.16</v>
      </c>
      <c r="J74" s="108">
        <f>I74/I56</f>
        <v>1.00352788080066</v>
      </c>
    </row>
    <row r="75" spans="1:10" ht="10.5">
      <c r="A75" s="90">
        <f aca="true" t="shared" si="19" ref="A75:A80">A74+1</f>
        <v>104</v>
      </c>
      <c r="B75" s="91">
        <f>B74+31</f>
        <v>35700</v>
      </c>
      <c r="C75" s="92">
        <f aca="true" t="shared" si="20" ref="C75:C80">I74</f>
        <v>39599.16</v>
      </c>
      <c r="D75" s="93">
        <f>16.97+58.03</f>
        <v>75</v>
      </c>
      <c r="E75" s="92">
        <f>I74*0.0089</f>
        <v>352.432524</v>
      </c>
      <c r="F75" s="92">
        <f t="shared" si="18"/>
        <v>57.407475999999974</v>
      </c>
      <c r="G75" s="92">
        <v>484.84</v>
      </c>
      <c r="H75" s="94">
        <v>1</v>
      </c>
      <c r="I75" s="106">
        <v>39748.84</v>
      </c>
      <c r="J75" s="108">
        <f aca="true" t="shared" si="21" ref="J75:J108">I75/I74</f>
        <v>1.0037798781590315</v>
      </c>
    </row>
    <row r="76" spans="1:10" ht="10.5">
      <c r="A76" s="90">
        <f t="shared" si="19"/>
        <v>105</v>
      </c>
      <c r="B76" s="91">
        <f>B75+30</f>
        <v>35730</v>
      </c>
      <c r="C76" s="92">
        <f t="shared" si="20"/>
        <v>39748.84</v>
      </c>
      <c r="D76" s="93">
        <f>16.97+58.03</f>
        <v>75</v>
      </c>
      <c r="E76" s="92">
        <f>I75*0.0089</f>
        <v>353.76467599999995</v>
      </c>
      <c r="F76" s="92">
        <f t="shared" si="18"/>
        <v>56.07532400000002</v>
      </c>
      <c r="G76" s="92">
        <v>484.84</v>
      </c>
      <c r="H76" s="94">
        <v>1</v>
      </c>
      <c r="I76" s="106">
        <v>39817.13</v>
      </c>
      <c r="J76" s="108">
        <f t="shared" si="21"/>
        <v>1.0017180375578256</v>
      </c>
    </row>
    <row r="77" spans="1:10" ht="10.5">
      <c r="A77" s="90">
        <f t="shared" si="19"/>
        <v>106</v>
      </c>
      <c r="B77" s="91">
        <f>B76+31</f>
        <v>35761</v>
      </c>
      <c r="C77" s="92">
        <f t="shared" si="20"/>
        <v>39817.13</v>
      </c>
      <c r="D77" s="93">
        <f>16.97+58.03</f>
        <v>75</v>
      </c>
      <c r="E77" s="92">
        <f>I76*0.0089</f>
        <v>354.372457</v>
      </c>
      <c r="F77" s="92">
        <f t="shared" si="18"/>
        <v>55.46754299999998</v>
      </c>
      <c r="G77" s="92">
        <v>484.84</v>
      </c>
      <c r="H77" s="94">
        <v>1</v>
      </c>
      <c r="I77" s="106">
        <f>(I76*J77)-G77</f>
        <v>39623.47267169</v>
      </c>
      <c r="J77" s="108">
        <v>1.007313</v>
      </c>
    </row>
    <row r="78" spans="1:10" ht="10.5">
      <c r="A78" s="90">
        <f t="shared" si="19"/>
        <v>107</v>
      </c>
      <c r="B78" s="91">
        <f>B77+30</f>
        <v>35791</v>
      </c>
      <c r="C78" s="92">
        <f t="shared" si="20"/>
        <v>39623.47267169</v>
      </c>
      <c r="D78" s="93">
        <f>18.41+62.98</f>
        <v>81.39</v>
      </c>
      <c r="E78" s="92">
        <f>I77*0.0089</f>
        <v>352.64890677804095</v>
      </c>
      <c r="F78" s="92">
        <f t="shared" si="18"/>
        <v>92.18109322195909</v>
      </c>
      <c r="G78" s="92">
        <v>526.22</v>
      </c>
      <c r="H78" s="94">
        <v>1.085377</v>
      </c>
      <c r="I78" s="106">
        <v>40486.64</v>
      </c>
      <c r="J78" s="108">
        <f t="shared" si="21"/>
        <v>1.0217842422712917</v>
      </c>
    </row>
    <row r="79" spans="1:10" ht="10.5">
      <c r="A79" s="90">
        <f t="shared" si="19"/>
        <v>108</v>
      </c>
      <c r="B79" s="91">
        <f>B78+31</f>
        <v>35822</v>
      </c>
      <c r="C79" s="92">
        <f t="shared" si="20"/>
        <v>40486.64</v>
      </c>
      <c r="D79" s="93">
        <f>18.41+62.98</f>
        <v>81.39</v>
      </c>
      <c r="E79" s="92">
        <f>I78*0.0089</f>
        <v>360.331096</v>
      </c>
      <c r="F79" s="92">
        <f t="shared" si="18"/>
        <v>84.49890400000004</v>
      </c>
      <c r="G79" s="92">
        <v>526.22</v>
      </c>
      <c r="H79" s="94">
        <v>1</v>
      </c>
      <c r="I79" s="106">
        <v>40732.68</v>
      </c>
      <c r="J79" s="108">
        <f t="shared" si="21"/>
        <v>1.0060770664100553</v>
      </c>
    </row>
    <row r="80" spans="1:10" ht="10.5">
      <c r="A80" s="90">
        <f t="shared" si="19"/>
        <v>109</v>
      </c>
      <c r="B80" s="91">
        <f>B79+31</f>
        <v>35853</v>
      </c>
      <c r="C80" s="92">
        <f t="shared" si="20"/>
        <v>40732.68</v>
      </c>
      <c r="D80" s="93">
        <f aca="true" t="shared" si="22" ref="D80:D89">18.41+62.98</f>
        <v>81.39</v>
      </c>
      <c r="E80" s="92">
        <f>E79</f>
        <v>360.331096</v>
      </c>
      <c r="F80" s="92">
        <f aca="true" t="shared" si="23" ref="F80:F91">G80-D80-E80</f>
        <v>84.49890400000004</v>
      </c>
      <c r="G80" s="92">
        <v>526.22</v>
      </c>
      <c r="H80" s="94">
        <v>1</v>
      </c>
      <c r="I80" s="106">
        <v>41008.32</v>
      </c>
      <c r="J80" s="108">
        <f>I80/I79</f>
        <v>1.0067670479821116</v>
      </c>
    </row>
    <row r="81" spans="1:10" ht="10.5">
      <c r="A81" s="90">
        <f aca="true" t="shared" si="24" ref="A81:A91">A80+1</f>
        <v>110</v>
      </c>
      <c r="B81" s="91">
        <f>B80+28</f>
        <v>35881</v>
      </c>
      <c r="C81" s="92">
        <f aca="true" t="shared" si="25" ref="C81:C91">I80</f>
        <v>41008.32</v>
      </c>
      <c r="D81" s="93">
        <f t="shared" si="22"/>
        <v>81.39</v>
      </c>
      <c r="E81" s="92">
        <f aca="true" t="shared" si="26" ref="E81:E91">I80*0.0089</f>
        <v>364.974048</v>
      </c>
      <c r="F81" s="92">
        <f t="shared" si="23"/>
        <v>79.85595200000006</v>
      </c>
      <c r="G81" s="92">
        <v>526.22</v>
      </c>
      <c r="H81" s="94">
        <v>1</v>
      </c>
      <c r="I81" s="106">
        <v>41026.84</v>
      </c>
      <c r="J81" s="108">
        <f t="shared" si="21"/>
        <v>1.0004516156721368</v>
      </c>
    </row>
    <row r="82" spans="1:10" ht="10.5">
      <c r="A82" s="90">
        <f t="shared" si="24"/>
        <v>111</v>
      </c>
      <c r="B82" s="91">
        <f>B81+31</f>
        <v>35912</v>
      </c>
      <c r="C82" s="92">
        <f t="shared" si="25"/>
        <v>41026.84</v>
      </c>
      <c r="D82" s="93">
        <f t="shared" si="22"/>
        <v>81.39</v>
      </c>
      <c r="E82" s="92">
        <f t="shared" si="26"/>
        <v>365.138876</v>
      </c>
      <c r="F82" s="92">
        <f t="shared" si="23"/>
        <v>79.69112400000006</v>
      </c>
      <c r="G82" s="92">
        <v>526.22</v>
      </c>
      <c r="H82" s="94">
        <v>1</v>
      </c>
      <c r="I82" s="106">
        <v>40964.62</v>
      </c>
      <c r="J82" s="108">
        <f t="shared" si="21"/>
        <v>0.9984834318217052</v>
      </c>
    </row>
    <row r="83" spans="1:10" ht="10.5">
      <c r="A83" s="90">
        <f t="shared" si="24"/>
        <v>112</v>
      </c>
      <c r="B83" s="91">
        <f>B82+30</f>
        <v>35942</v>
      </c>
      <c r="C83" s="92">
        <f t="shared" si="25"/>
        <v>40964.62</v>
      </c>
      <c r="D83" s="93">
        <f t="shared" si="22"/>
        <v>81.39</v>
      </c>
      <c r="E83" s="92">
        <f t="shared" si="26"/>
        <v>364.585118</v>
      </c>
      <c r="F83" s="92">
        <f t="shared" si="23"/>
        <v>80.24488200000002</v>
      </c>
      <c r="G83" s="92">
        <v>526.22</v>
      </c>
      <c r="H83" s="94">
        <v>1</v>
      </c>
      <c r="I83" s="106">
        <v>41039.15</v>
      </c>
      <c r="J83" s="108">
        <f t="shared" si="21"/>
        <v>1.0018193748654327</v>
      </c>
    </row>
    <row r="84" spans="1:10" ht="10.5">
      <c r="A84" s="90">
        <f t="shared" si="24"/>
        <v>113</v>
      </c>
      <c r="B84" s="91">
        <f>B83+31</f>
        <v>35973</v>
      </c>
      <c r="C84" s="92">
        <f t="shared" si="25"/>
        <v>41039.15</v>
      </c>
      <c r="D84" s="93">
        <f t="shared" si="22"/>
        <v>81.39</v>
      </c>
      <c r="E84" s="92">
        <f t="shared" si="26"/>
        <v>365.24843500000003</v>
      </c>
      <c r="F84" s="92">
        <f t="shared" si="23"/>
        <v>79.58156500000001</v>
      </c>
      <c r="G84" s="92">
        <v>526.22</v>
      </c>
      <c r="H84" s="94">
        <v>1</v>
      </c>
      <c r="I84" s="106">
        <v>41135.01</v>
      </c>
      <c r="J84" s="108">
        <f t="shared" si="21"/>
        <v>1.0023358183588111</v>
      </c>
    </row>
    <row r="85" spans="1:10" ht="10.5">
      <c r="A85" s="90">
        <f t="shared" si="24"/>
        <v>114</v>
      </c>
      <c r="B85" s="91">
        <f>B84+30</f>
        <v>36003</v>
      </c>
      <c r="C85" s="92">
        <f t="shared" si="25"/>
        <v>41135.01</v>
      </c>
      <c r="D85" s="93">
        <f t="shared" si="22"/>
        <v>81.39</v>
      </c>
      <c r="E85" s="92">
        <f t="shared" si="26"/>
        <v>366.101589</v>
      </c>
      <c r="F85" s="92">
        <f t="shared" si="23"/>
        <v>78.72841100000005</v>
      </c>
      <c r="G85" s="92">
        <v>526.22</v>
      </c>
      <c r="H85" s="94">
        <v>1</v>
      </c>
      <c r="I85" s="106">
        <v>41115.72</v>
      </c>
      <c r="J85" s="108">
        <f t="shared" si="21"/>
        <v>0.9995310563921098</v>
      </c>
    </row>
    <row r="86" spans="1:10" ht="10.5">
      <c r="A86" s="90">
        <f t="shared" si="24"/>
        <v>115</v>
      </c>
      <c r="B86" s="91">
        <f>B85+31</f>
        <v>36034</v>
      </c>
      <c r="C86" s="92">
        <f t="shared" si="25"/>
        <v>41115.72</v>
      </c>
      <c r="D86" s="93">
        <f t="shared" si="22"/>
        <v>81.39</v>
      </c>
      <c r="E86" s="92">
        <f t="shared" si="26"/>
        <v>365.929908</v>
      </c>
      <c r="F86" s="92">
        <f t="shared" si="23"/>
        <v>78.90009200000003</v>
      </c>
      <c r="G86" s="92">
        <v>526.22</v>
      </c>
      <c r="H86" s="94">
        <v>1</v>
      </c>
      <c r="I86" s="106">
        <v>41158.26</v>
      </c>
      <c r="J86" s="108">
        <f t="shared" si="21"/>
        <v>1.001034640765138</v>
      </c>
    </row>
    <row r="87" spans="1:10" ht="10.5">
      <c r="A87" s="90">
        <f t="shared" si="24"/>
        <v>116</v>
      </c>
      <c r="B87" s="91">
        <f>B86+31</f>
        <v>36065</v>
      </c>
      <c r="C87" s="92">
        <f t="shared" si="25"/>
        <v>41158.26</v>
      </c>
      <c r="D87" s="93">
        <f t="shared" si="22"/>
        <v>81.39</v>
      </c>
      <c r="E87" s="92">
        <f t="shared" si="26"/>
        <v>366.308514</v>
      </c>
      <c r="F87" s="92">
        <f t="shared" si="23"/>
        <v>78.52148600000004</v>
      </c>
      <c r="G87" s="92">
        <v>526.22</v>
      </c>
      <c r="H87" s="94">
        <v>1</v>
      </c>
      <c r="I87" s="106">
        <v>41190.24</v>
      </c>
      <c r="J87" s="108">
        <f t="shared" si="21"/>
        <v>1.0007770007770007</v>
      </c>
    </row>
    <row r="88" spans="1:10" ht="10.5">
      <c r="A88" s="90">
        <f t="shared" si="24"/>
        <v>117</v>
      </c>
      <c r="B88" s="91">
        <f>B87+30</f>
        <v>36095</v>
      </c>
      <c r="C88" s="92">
        <f t="shared" si="25"/>
        <v>41190.24</v>
      </c>
      <c r="D88" s="93">
        <f t="shared" si="22"/>
        <v>81.39</v>
      </c>
      <c r="E88" s="92">
        <f t="shared" si="26"/>
        <v>366.59313599999996</v>
      </c>
      <c r="F88" s="92">
        <f t="shared" si="23"/>
        <v>78.23686400000008</v>
      </c>
      <c r="G88" s="92">
        <v>526.22</v>
      </c>
      <c r="H88" s="94">
        <v>1</v>
      </c>
      <c r="I88" s="106">
        <v>41560.54</v>
      </c>
      <c r="J88" s="108">
        <f t="shared" si="21"/>
        <v>1.0089899937460913</v>
      </c>
    </row>
    <row r="89" spans="1:10" ht="10.5">
      <c r="A89" s="90">
        <f t="shared" si="24"/>
        <v>118</v>
      </c>
      <c r="B89" s="91">
        <f>B88+31</f>
        <v>36126</v>
      </c>
      <c r="C89" s="92">
        <f t="shared" si="25"/>
        <v>41560.54</v>
      </c>
      <c r="D89" s="93">
        <f t="shared" si="22"/>
        <v>81.39</v>
      </c>
      <c r="E89" s="92">
        <f t="shared" si="26"/>
        <v>369.888806</v>
      </c>
      <c r="F89" s="92">
        <f t="shared" si="23"/>
        <v>74.94119400000005</v>
      </c>
      <c r="G89" s="92">
        <v>526.22</v>
      </c>
      <c r="H89" s="94">
        <v>1</v>
      </c>
      <c r="I89" s="106">
        <v>41856.47</v>
      </c>
      <c r="J89" s="108">
        <f t="shared" si="21"/>
        <v>1.0071204560864704</v>
      </c>
    </row>
    <row r="90" spans="1:10" ht="10.5">
      <c r="A90" s="90">
        <f t="shared" si="24"/>
        <v>119</v>
      </c>
      <c r="B90" s="91">
        <f>B89+30</f>
        <v>36156</v>
      </c>
      <c r="C90" s="92">
        <f t="shared" si="25"/>
        <v>41856.47</v>
      </c>
      <c r="D90" s="93">
        <f>20.13+68.89</f>
        <v>89.02</v>
      </c>
      <c r="E90" s="92">
        <f t="shared" si="26"/>
        <v>372.522583</v>
      </c>
      <c r="F90" s="92">
        <f t="shared" si="23"/>
        <v>114.06741700000003</v>
      </c>
      <c r="G90" s="92">
        <v>575.61</v>
      </c>
      <c r="H90" s="94">
        <v>1.063894</v>
      </c>
      <c r="I90" s="106">
        <v>41818.55</v>
      </c>
      <c r="J90" s="108">
        <f t="shared" si="21"/>
        <v>0.9990940468701732</v>
      </c>
    </row>
    <row r="91" spans="1:10" ht="10.5">
      <c r="A91" s="90">
        <f t="shared" si="24"/>
        <v>120</v>
      </c>
      <c r="B91" s="91">
        <f>B90+31</f>
        <v>36187</v>
      </c>
      <c r="C91" s="92">
        <f t="shared" si="25"/>
        <v>41818.55</v>
      </c>
      <c r="D91" s="93">
        <f>20.13+68.89</f>
        <v>89.02</v>
      </c>
      <c r="E91" s="92">
        <f t="shared" si="26"/>
        <v>372.18509500000005</v>
      </c>
      <c r="F91" s="92">
        <f t="shared" si="23"/>
        <v>114.40490499999999</v>
      </c>
      <c r="G91" s="92">
        <v>575.61</v>
      </c>
      <c r="H91" s="94">
        <v>1</v>
      </c>
      <c r="I91" s="106">
        <v>41875.8</v>
      </c>
      <c r="J91" s="108">
        <f t="shared" si="21"/>
        <v>1.001369009685893</v>
      </c>
    </row>
    <row r="92" spans="1:10" ht="10.5">
      <c r="A92" s="90">
        <f>A91+1</f>
        <v>121</v>
      </c>
      <c r="B92" s="91">
        <f>B91+31</f>
        <v>36218</v>
      </c>
      <c r="C92" s="92">
        <f>I91</f>
        <v>41875.8</v>
      </c>
      <c r="D92" s="93">
        <f aca="true" t="shared" si="27" ref="D92:D101">20.13+68.89</f>
        <v>89.02</v>
      </c>
      <c r="E92" s="92">
        <f>E91</f>
        <v>372.18509500000005</v>
      </c>
      <c r="F92" s="92">
        <f aca="true" t="shared" si="28" ref="F92:F103">G92-D92-E92</f>
        <v>114.40490499999999</v>
      </c>
      <c r="G92" s="92">
        <v>575.61</v>
      </c>
      <c r="H92" s="94">
        <v>1</v>
      </c>
      <c r="I92" s="106">
        <v>42214.36</v>
      </c>
      <c r="J92" s="108">
        <f>I92/I91</f>
        <v>1.0080848604683372</v>
      </c>
    </row>
    <row r="93" spans="1:10" ht="10.5">
      <c r="A93" s="90">
        <f aca="true" t="shared" si="29" ref="A93:A103">A92+1</f>
        <v>122</v>
      </c>
      <c r="B93" s="91">
        <f>B92+28</f>
        <v>36246</v>
      </c>
      <c r="C93" s="92">
        <f aca="true" t="shared" si="30" ref="C93:C103">I92</f>
        <v>42214.36</v>
      </c>
      <c r="D93" s="93">
        <f t="shared" si="27"/>
        <v>89.02</v>
      </c>
      <c r="E93" s="92">
        <f aca="true" t="shared" si="31" ref="E93:E103">I92*0.0089</f>
        <v>375.707804</v>
      </c>
      <c r="F93" s="92">
        <f t="shared" si="28"/>
        <v>110.88219600000002</v>
      </c>
      <c r="G93" s="92">
        <v>575.61</v>
      </c>
      <c r="H93" s="94">
        <v>1</v>
      </c>
      <c r="I93" s="106">
        <v>42410.71</v>
      </c>
      <c r="J93" s="108">
        <f t="shared" si="21"/>
        <v>1.004651260850573</v>
      </c>
    </row>
    <row r="94" spans="1:10" ht="10.5">
      <c r="A94" s="90">
        <f t="shared" si="29"/>
        <v>123</v>
      </c>
      <c r="B94" s="91">
        <f>B93+31</f>
        <v>36277</v>
      </c>
      <c r="C94" s="92">
        <f t="shared" si="30"/>
        <v>42410.71</v>
      </c>
      <c r="D94" s="93">
        <f t="shared" si="27"/>
        <v>89.02</v>
      </c>
      <c r="E94" s="92">
        <f t="shared" si="31"/>
        <v>377.455319</v>
      </c>
      <c r="F94" s="92">
        <f t="shared" si="28"/>
        <v>109.13468100000006</v>
      </c>
      <c r="G94" s="92">
        <v>575.61</v>
      </c>
      <c r="H94" s="94">
        <v>1</v>
      </c>
      <c r="I94" s="106">
        <v>42379.69</v>
      </c>
      <c r="J94" s="108">
        <f t="shared" si="21"/>
        <v>0.9992685809787198</v>
      </c>
    </row>
    <row r="95" spans="1:10" ht="10.5">
      <c r="A95" s="90">
        <f t="shared" si="29"/>
        <v>124</v>
      </c>
      <c r="B95" s="91">
        <f>B94+30</f>
        <v>36307</v>
      </c>
      <c r="C95" s="92">
        <f t="shared" si="30"/>
        <v>42379.69</v>
      </c>
      <c r="D95" s="93">
        <f t="shared" si="27"/>
        <v>89.02</v>
      </c>
      <c r="E95" s="92">
        <f t="shared" si="31"/>
        <v>377.179241</v>
      </c>
      <c r="F95" s="92">
        <f t="shared" si="28"/>
        <v>109.41075900000004</v>
      </c>
      <c r="G95" s="92">
        <v>575.61</v>
      </c>
      <c r="H95" s="94">
        <v>1</v>
      </c>
      <c r="I95" s="106">
        <v>42457.68</v>
      </c>
      <c r="J95" s="108">
        <f t="shared" si="21"/>
        <v>1.0018402682983287</v>
      </c>
    </row>
    <row r="96" spans="1:10" ht="10.5">
      <c r="A96" s="90">
        <f t="shared" si="29"/>
        <v>125</v>
      </c>
      <c r="B96" s="91">
        <f>B95+31</f>
        <v>36338</v>
      </c>
      <c r="C96" s="92">
        <f t="shared" si="30"/>
        <v>42457.68</v>
      </c>
      <c r="D96" s="93">
        <f t="shared" si="27"/>
        <v>89.02</v>
      </c>
      <c r="E96" s="92">
        <f t="shared" si="31"/>
        <v>377.873352</v>
      </c>
      <c r="F96" s="92">
        <f t="shared" si="28"/>
        <v>108.71664800000002</v>
      </c>
      <c r="G96" s="92">
        <v>575.61</v>
      </c>
      <c r="H96" s="94">
        <v>1</v>
      </c>
      <c r="I96" s="106">
        <v>42334.38</v>
      </c>
      <c r="J96" s="108">
        <f t="shared" si="21"/>
        <v>0.9970959317607556</v>
      </c>
    </row>
    <row r="97" spans="1:10" ht="10.5">
      <c r="A97" s="90">
        <f t="shared" si="29"/>
        <v>126</v>
      </c>
      <c r="B97" s="91">
        <f>B96+30</f>
        <v>36368</v>
      </c>
      <c r="C97" s="92">
        <f t="shared" si="30"/>
        <v>42334.38</v>
      </c>
      <c r="D97" s="93">
        <f t="shared" si="27"/>
        <v>89.02</v>
      </c>
      <c r="E97" s="92">
        <f t="shared" si="31"/>
        <v>376.775982</v>
      </c>
      <c r="F97" s="92">
        <f t="shared" si="28"/>
        <v>109.81401800000003</v>
      </c>
      <c r="G97" s="92">
        <v>575.61</v>
      </c>
      <c r="H97" s="94">
        <v>1</v>
      </c>
      <c r="I97" s="106">
        <v>42275.38</v>
      </c>
      <c r="J97" s="108">
        <f t="shared" si="21"/>
        <v>0.9986063336701754</v>
      </c>
    </row>
    <row r="98" spans="1:10" ht="10.5">
      <c r="A98" s="90">
        <f t="shared" si="29"/>
        <v>127</v>
      </c>
      <c r="B98" s="91">
        <f>B97+31</f>
        <v>36399</v>
      </c>
      <c r="C98" s="92">
        <f t="shared" si="30"/>
        <v>42275.38</v>
      </c>
      <c r="D98" s="93">
        <f t="shared" si="27"/>
        <v>89.02</v>
      </c>
      <c r="E98" s="92">
        <f t="shared" si="31"/>
        <v>376.250882</v>
      </c>
      <c r="F98" s="92">
        <f t="shared" si="28"/>
        <v>110.33911800000004</v>
      </c>
      <c r="G98" s="92">
        <v>575.61</v>
      </c>
      <c r="H98" s="94">
        <v>1</v>
      </c>
      <c r="I98" s="106">
        <v>42244.01</v>
      </c>
      <c r="J98" s="108">
        <f t="shared" si="21"/>
        <v>0.9992579605434654</v>
      </c>
    </row>
    <row r="99" spans="1:10" ht="10.5">
      <c r="A99" s="90">
        <f t="shared" si="29"/>
        <v>128</v>
      </c>
      <c r="B99" s="91">
        <f>B98+31</f>
        <v>36430</v>
      </c>
      <c r="C99" s="92">
        <f t="shared" si="30"/>
        <v>42244.01</v>
      </c>
      <c r="D99" s="93">
        <f t="shared" si="27"/>
        <v>89.02</v>
      </c>
      <c r="E99" s="92">
        <f t="shared" si="31"/>
        <v>375.971689</v>
      </c>
      <c r="F99" s="92">
        <f t="shared" si="28"/>
        <v>110.618311</v>
      </c>
      <c r="G99" s="92">
        <v>575.61</v>
      </c>
      <c r="H99" s="94">
        <v>1</v>
      </c>
      <c r="I99" s="106">
        <v>42147.76</v>
      </c>
      <c r="J99" s="108">
        <f t="shared" si="21"/>
        <v>0.99772157046644</v>
      </c>
    </row>
    <row r="100" spans="1:10" ht="10.5">
      <c r="A100" s="90">
        <f t="shared" si="29"/>
        <v>129</v>
      </c>
      <c r="B100" s="91">
        <f>B99+30</f>
        <v>36460</v>
      </c>
      <c r="C100" s="92">
        <f t="shared" si="30"/>
        <v>42147.76</v>
      </c>
      <c r="D100" s="93">
        <f t="shared" si="27"/>
        <v>89.02</v>
      </c>
      <c r="E100" s="92">
        <f t="shared" si="31"/>
        <v>375.115064</v>
      </c>
      <c r="F100" s="92">
        <f t="shared" si="28"/>
        <v>111.47493600000001</v>
      </c>
      <c r="G100" s="92">
        <v>575.61</v>
      </c>
      <c r="H100" s="94">
        <v>1</v>
      </c>
      <c r="I100" s="106">
        <v>42058.4</v>
      </c>
      <c r="J100" s="108">
        <f t="shared" si="21"/>
        <v>0.9978798398776115</v>
      </c>
    </row>
    <row r="101" spans="1:10" ht="10.5">
      <c r="A101" s="90">
        <f t="shared" si="29"/>
        <v>130</v>
      </c>
      <c r="B101" s="91">
        <f>B100+31</f>
        <v>36491</v>
      </c>
      <c r="C101" s="92">
        <f t="shared" si="30"/>
        <v>42058.4</v>
      </c>
      <c r="D101" s="93">
        <f t="shared" si="27"/>
        <v>89.02</v>
      </c>
      <c r="E101" s="92">
        <f t="shared" si="31"/>
        <v>374.31976000000003</v>
      </c>
      <c r="F101" s="92">
        <f t="shared" si="28"/>
        <v>112.27024</v>
      </c>
      <c r="G101" s="92">
        <v>575.61</v>
      </c>
      <c r="H101" s="94">
        <v>1</v>
      </c>
      <c r="I101" s="106">
        <v>41959.55</v>
      </c>
      <c r="J101" s="108">
        <f t="shared" si="21"/>
        <v>0.9976496966123296</v>
      </c>
    </row>
    <row r="102" spans="1:10" ht="10.5">
      <c r="A102" s="90">
        <f t="shared" si="29"/>
        <v>131</v>
      </c>
      <c r="B102" s="91">
        <f>B101+30</f>
        <v>36521</v>
      </c>
      <c r="C102" s="92">
        <f t="shared" si="30"/>
        <v>41959.55</v>
      </c>
      <c r="D102" s="93">
        <f>21.46+73.46</f>
        <v>94.91999999999999</v>
      </c>
      <c r="E102" s="92">
        <f t="shared" si="31"/>
        <v>373.439995</v>
      </c>
      <c r="F102" s="92">
        <f t="shared" si="28"/>
        <v>145.430005</v>
      </c>
      <c r="G102" s="92">
        <v>613.79</v>
      </c>
      <c r="H102" s="94">
        <v>1.066357</v>
      </c>
      <c r="I102" s="106">
        <v>41853.49</v>
      </c>
      <c r="J102" s="108">
        <f t="shared" si="21"/>
        <v>0.9974723275154285</v>
      </c>
    </row>
    <row r="103" spans="1:10" ht="10.5">
      <c r="A103" s="90">
        <f t="shared" si="29"/>
        <v>132</v>
      </c>
      <c r="B103" s="91">
        <f>B102+31</f>
        <v>36552</v>
      </c>
      <c r="C103" s="92">
        <f t="shared" si="30"/>
        <v>41853.49</v>
      </c>
      <c r="D103" s="93">
        <f>21.46+73.46</f>
        <v>94.91999999999999</v>
      </c>
      <c r="E103" s="92">
        <f t="shared" si="31"/>
        <v>372.496061</v>
      </c>
      <c r="F103" s="92">
        <f t="shared" si="28"/>
        <v>146.373939</v>
      </c>
      <c r="G103" s="92">
        <v>613.79</v>
      </c>
      <c r="H103" s="94">
        <v>1</v>
      </c>
      <c r="I103" s="106">
        <v>41756.26</v>
      </c>
      <c r="J103" s="108">
        <f t="shared" si="21"/>
        <v>0.9976768962397163</v>
      </c>
    </row>
    <row r="104" spans="1:10" ht="10.5">
      <c r="A104" s="90">
        <f>A103+1</f>
        <v>133</v>
      </c>
      <c r="B104" s="91">
        <f>B103+31</f>
        <v>36583</v>
      </c>
      <c r="C104" s="92">
        <f>I103</f>
        <v>41756.26</v>
      </c>
      <c r="D104" s="93">
        <f>21.46+73.46</f>
        <v>94.91999999999999</v>
      </c>
      <c r="E104" s="92">
        <f>E103</f>
        <v>372.496061</v>
      </c>
      <c r="F104" s="92">
        <f>G104-D104-E104</f>
        <v>146.373939</v>
      </c>
      <c r="G104" s="92">
        <v>613.79</v>
      </c>
      <c r="H104" s="94">
        <v>1</v>
      </c>
      <c r="I104" s="106">
        <v>41643.41</v>
      </c>
      <c r="J104" s="108">
        <f>I104/I103</f>
        <v>0.9972974112145101</v>
      </c>
    </row>
    <row r="105" spans="1:10" ht="10.5">
      <c r="A105" s="90">
        <f>A104+1</f>
        <v>134</v>
      </c>
      <c r="B105" s="91">
        <f>B104+29</f>
        <v>36612</v>
      </c>
      <c r="C105" s="92">
        <f>I104</f>
        <v>41643.41</v>
      </c>
      <c r="D105" s="93">
        <f>12.88+58.25</f>
        <v>71.13</v>
      </c>
      <c r="E105" s="92">
        <f>I104*0.0089</f>
        <v>370.626349</v>
      </c>
      <c r="F105" s="92">
        <f>G105-D105-E105</f>
        <v>148.243651</v>
      </c>
      <c r="G105" s="92">
        <v>590</v>
      </c>
      <c r="H105" s="94">
        <v>1</v>
      </c>
      <c r="I105" s="106">
        <v>41465.89</v>
      </c>
      <c r="J105" s="108">
        <f t="shared" si="21"/>
        <v>0.9957371406424209</v>
      </c>
    </row>
    <row r="106" spans="1:10" ht="10.5">
      <c r="A106" s="90">
        <f>A105+1</f>
        <v>135</v>
      </c>
      <c r="B106" s="91">
        <f>B105+31</f>
        <v>36643</v>
      </c>
      <c r="C106" s="92">
        <f>I105</f>
        <v>41465.89</v>
      </c>
      <c r="D106" s="93">
        <f>12.88+58.25</f>
        <v>71.13</v>
      </c>
      <c r="E106" s="92">
        <f>I105*0.0089</f>
        <v>369.046421</v>
      </c>
      <c r="F106" s="92">
        <f>G106-D106-E106</f>
        <v>149.823579</v>
      </c>
      <c r="G106" s="92">
        <v>590</v>
      </c>
      <c r="H106" s="94">
        <v>1</v>
      </c>
      <c r="I106" s="106">
        <v>41339.74</v>
      </c>
      <c r="J106" s="108">
        <f t="shared" si="21"/>
        <v>0.9969577404464247</v>
      </c>
    </row>
    <row r="107" spans="1:10" ht="10.5">
      <c r="A107" s="90">
        <f>A106+1</f>
        <v>136</v>
      </c>
      <c r="B107" s="91">
        <f>B106+30</f>
        <v>36673</v>
      </c>
      <c r="C107" s="92">
        <f>I106</f>
        <v>41339.74</v>
      </c>
      <c r="D107" s="93">
        <f>12.88+58.25</f>
        <v>71.13</v>
      </c>
      <c r="E107" s="92">
        <f>I106*0.0089</f>
        <v>367.923686</v>
      </c>
      <c r="F107" s="92">
        <f>G107-D107-E107</f>
        <v>150.94631400000003</v>
      </c>
      <c r="G107" s="92">
        <v>590</v>
      </c>
      <c r="H107" s="94">
        <v>1</v>
      </c>
      <c r="I107" s="106">
        <v>41202.86</v>
      </c>
      <c r="J107" s="108">
        <f t="shared" si="21"/>
        <v>0.9966889003172251</v>
      </c>
    </row>
    <row r="108" spans="1:10" ht="10.5">
      <c r="A108" s="90">
        <f>A107+1</f>
        <v>137</v>
      </c>
      <c r="B108" s="91">
        <f>B107+31</f>
        <v>36704</v>
      </c>
      <c r="C108" s="92">
        <f>I107</f>
        <v>41202.86</v>
      </c>
      <c r="D108" s="93">
        <f>12.88+58.25</f>
        <v>71.13</v>
      </c>
      <c r="E108" s="92">
        <f>I107*0.0089</f>
        <v>366.705454</v>
      </c>
      <c r="F108" s="92">
        <f>G108-D108-E108</f>
        <v>152.16454600000003</v>
      </c>
      <c r="G108" s="92">
        <v>590</v>
      </c>
      <c r="H108" s="94">
        <v>1</v>
      </c>
      <c r="I108" s="106">
        <v>41056.14</v>
      </c>
      <c r="J108" s="108">
        <f t="shared" si="21"/>
        <v>0.9964390821413853</v>
      </c>
    </row>
    <row r="109" spans="1:9" ht="10.5">
      <c r="A109" s="95" t="s">
        <v>12</v>
      </c>
      <c r="B109" s="96"/>
      <c r="C109" s="97"/>
      <c r="D109" s="96"/>
      <c r="E109" s="98"/>
      <c r="F109" s="98"/>
      <c r="G109" s="97"/>
      <c r="H109" s="97"/>
      <c r="I109" s="97">
        <f>I108</f>
        <v>41056.14</v>
      </c>
    </row>
    <row r="110" spans="1:9" ht="10.5">
      <c r="A110" s="60" t="s">
        <v>77</v>
      </c>
      <c r="I110" s="97">
        <f>I109</f>
        <v>41056.14</v>
      </c>
    </row>
    <row r="111" spans="1:9" ht="10.5">
      <c r="A111" s="60" t="s">
        <v>78</v>
      </c>
      <c r="I111" s="110"/>
    </row>
    <row r="112" spans="1:9" ht="10.5">
      <c r="A112" s="60" t="s">
        <v>79</v>
      </c>
      <c r="E112" s="100">
        <v>36704</v>
      </c>
      <c r="F112" s="100"/>
      <c r="I112" s="99"/>
    </row>
  </sheetData>
  <sheetProtection/>
  <mergeCells count="4">
    <mergeCell ref="A4:D4"/>
    <mergeCell ref="A5:D5"/>
    <mergeCell ref="A63:D63"/>
    <mergeCell ref="A64:D64"/>
  </mergeCells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M77"/>
  <sheetViews>
    <sheetView showGridLines="0" zoomScalePageLayoutView="0" workbookViewId="0" topLeftCell="A1">
      <selection activeCell="L1" sqref="L1:M10"/>
    </sheetView>
  </sheetViews>
  <sheetFormatPr defaultColWidth="14.28125" defaultRowHeight="12.75"/>
  <cols>
    <col min="1" max="1" width="22.28125" style="0" customWidth="1"/>
    <col min="2" max="2" width="11.8515625" style="0" customWidth="1"/>
    <col min="3" max="3" width="13.140625" style="0" customWidth="1"/>
    <col min="4" max="4" width="12.8515625" style="0" customWidth="1"/>
    <col min="5" max="5" width="14.28125" style="0" customWidth="1"/>
    <col min="6" max="6" width="12.421875" style="0" customWidth="1"/>
    <col min="7" max="7" width="15.28125" style="0" customWidth="1"/>
    <col min="8" max="8" width="15.7109375" style="0" customWidth="1"/>
    <col min="9" max="9" width="14.28125" style="0" hidden="1" customWidth="1"/>
    <col min="10" max="10" width="15.00390625" style="0" hidden="1" customWidth="1"/>
    <col min="11" max="13" width="0" style="0" hidden="1" customWidth="1"/>
  </cols>
  <sheetData>
    <row r="1" spans="1:13" ht="12.75">
      <c r="A1" s="1" t="s">
        <v>0</v>
      </c>
      <c r="G1" s="2"/>
      <c r="H1" s="2" t="s">
        <v>18</v>
      </c>
      <c r="L1" s="2" t="s">
        <v>18</v>
      </c>
      <c r="M1" s="2" t="s">
        <v>18</v>
      </c>
    </row>
    <row r="2" spans="1:13" ht="12.75">
      <c r="A2" s="1" t="s">
        <v>30</v>
      </c>
      <c r="G2" s="2"/>
      <c r="H2" s="2" t="s">
        <v>2</v>
      </c>
      <c r="L2" s="2" t="s">
        <v>2</v>
      </c>
      <c r="M2" s="2" t="s">
        <v>2</v>
      </c>
    </row>
    <row r="3" spans="1:13" ht="12.75">
      <c r="A3" s="3"/>
      <c r="G3" s="2"/>
      <c r="H3" s="55"/>
      <c r="L3" s="2" t="s">
        <v>18</v>
      </c>
      <c r="M3" s="55"/>
    </row>
    <row r="4" spans="1:13" ht="12.75">
      <c r="A4" s="3"/>
      <c r="G4" s="2"/>
      <c r="L4" s="2" t="s">
        <v>2</v>
      </c>
      <c r="M4" s="55"/>
    </row>
    <row r="5" spans="1:13" ht="12.75">
      <c r="A5" s="3"/>
      <c r="G5" s="2"/>
      <c r="L5" s="56"/>
      <c r="M5" s="55"/>
    </row>
    <row r="6" spans="1:13" ht="12.75">
      <c r="A6" s="4" t="s">
        <v>3</v>
      </c>
      <c r="C6" s="4" t="s">
        <v>36</v>
      </c>
      <c r="G6" s="4"/>
      <c r="L6" s="56"/>
      <c r="M6" s="55"/>
    </row>
    <row r="7" spans="1:13" ht="12.75">
      <c r="A7" s="4" t="s">
        <v>4</v>
      </c>
      <c r="C7" s="4" t="s">
        <v>37</v>
      </c>
      <c r="L7" s="56"/>
      <c r="M7" s="55"/>
    </row>
    <row r="8" spans="1:13" ht="12.75">
      <c r="A8" s="4"/>
      <c r="L8" s="57"/>
      <c r="M8" s="55"/>
    </row>
    <row r="9" spans="2:13" ht="12.75">
      <c r="B9" s="4" t="s">
        <v>38</v>
      </c>
      <c r="M9" s="55"/>
    </row>
    <row r="10" ht="12.75">
      <c r="M10" s="55"/>
    </row>
    <row r="11" ht="13.5" thickBot="1"/>
    <row r="12" spans="1:8" ht="14.25" thickBot="1" thickTop="1">
      <c r="A12" s="5" t="s">
        <v>13</v>
      </c>
      <c r="B12" s="5" t="s">
        <v>5</v>
      </c>
      <c r="C12" s="5" t="s">
        <v>6</v>
      </c>
      <c r="D12" s="52"/>
      <c r="E12" s="5" t="s">
        <v>7</v>
      </c>
      <c r="F12" s="5" t="s">
        <v>26</v>
      </c>
      <c r="G12" s="5" t="s">
        <v>9</v>
      </c>
      <c r="H12" s="5" t="s">
        <v>8</v>
      </c>
    </row>
    <row r="13" spans="1:8" ht="13.5" thickTop="1">
      <c r="A13" s="6" t="s">
        <v>14</v>
      </c>
      <c r="B13" s="6"/>
      <c r="C13" s="6" t="s">
        <v>10</v>
      </c>
      <c r="D13" s="54">
        <v>0.021622</v>
      </c>
      <c r="E13" s="6"/>
      <c r="F13" s="6" t="s">
        <v>27</v>
      </c>
      <c r="G13" s="6"/>
      <c r="H13" s="6" t="s">
        <v>15</v>
      </c>
    </row>
    <row r="14" spans="1:8" ht="13.5" thickBot="1">
      <c r="A14" s="8"/>
      <c r="B14" s="7"/>
      <c r="C14" s="7"/>
      <c r="D14" s="9"/>
      <c r="E14" s="7" t="s">
        <v>11</v>
      </c>
      <c r="F14" s="7" t="s">
        <v>11</v>
      </c>
      <c r="G14" s="7" t="s">
        <v>11</v>
      </c>
      <c r="H14" s="7" t="s">
        <v>11</v>
      </c>
    </row>
    <row r="15" spans="1:8" ht="13.5" thickTop="1">
      <c r="A15" s="49"/>
      <c r="B15" s="50"/>
      <c r="C15" s="50"/>
      <c r="D15" s="49"/>
      <c r="E15" s="50"/>
      <c r="G15" s="50"/>
      <c r="H15" s="50"/>
    </row>
    <row r="16" spans="1:8" ht="12.75">
      <c r="A16" s="20" t="s">
        <v>17</v>
      </c>
      <c r="B16" s="10"/>
      <c r="C16" s="22" t="e">
        <f>#REF!</f>
        <v>#REF!</v>
      </c>
      <c r="D16" s="10"/>
      <c r="E16" s="10"/>
      <c r="F16" s="11"/>
      <c r="G16" s="22" t="e">
        <f>C16</f>
        <v>#REF!</v>
      </c>
      <c r="H16" s="11" t="e">
        <f>#REF!</f>
        <v>#REF!</v>
      </c>
    </row>
    <row r="17" spans="1:8" ht="12.75">
      <c r="A17" s="20">
        <v>10</v>
      </c>
      <c r="B17" s="21">
        <v>41323</v>
      </c>
      <c r="C17" s="17" t="e">
        <f>G16</f>
        <v>#REF!</v>
      </c>
      <c r="D17" s="12" t="e">
        <f>#REF!</f>
        <v>#REF!</v>
      </c>
      <c r="E17" s="11" t="e">
        <f>C17+(C17*D17)</f>
        <v>#REF!</v>
      </c>
      <c r="F17" s="11">
        <v>2291.37</v>
      </c>
      <c r="G17" s="11" t="e">
        <f>E17-F17-H17</f>
        <v>#REF!</v>
      </c>
      <c r="H17" s="11" t="e">
        <f>C16*D17</f>
        <v>#REF!</v>
      </c>
    </row>
    <row r="18" spans="1:8" ht="12.75">
      <c r="A18" s="20">
        <f>A17+1</f>
        <v>11</v>
      </c>
      <c r="B18" s="21">
        <v>41351</v>
      </c>
      <c r="C18" s="11" t="e">
        <f>G17</f>
        <v>#REF!</v>
      </c>
      <c r="D18" s="12" t="e">
        <f>#REF!</f>
        <v>#REF!</v>
      </c>
      <c r="E18" s="11" t="e">
        <f>C18+(C18*D18)</f>
        <v>#REF!</v>
      </c>
      <c r="F18" s="11">
        <v>2291.37</v>
      </c>
      <c r="G18" s="11" t="e">
        <f>E18-F18-H18</f>
        <v>#REF!</v>
      </c>
      <c r="H18" s="11" t="e">
        <f>C18*D18</f>
        <v>#REF!</v>
      </c>
    </row>
    <row r="19" spans="1:8" ht="12.75">
      <c r="A19" s="20">
        <f aca="true" t="shared" si="0" ref="A19:A28">A18+1</f>
        <v>12</v>
      </c>
      <c r="B19" s="21">
        <v>41382</v>
      </c>
      <c r="C19" s="11" t="e">
        <f>G18</f>
        <v>#REF!</v>
      </c>
      <c r="D19" s="12" t="e">
        <f>#REF!</f>
        <v>#REF!</v>
      </c>
      <c r="E19" s="11" t="e">
        <f>C19+(C19*D19)</f>
        <v>#REF!</v>
      </c>
      <c r="F19" s="11">
        <v>2291.37</v>
      </c>
      <c r="G19" s="11" t="e">
        <f>E19-F19-H19</f>
        <v>#REF!</v>
      </c>
      <c r="H19" s="11" t="e">
        <f>C19*D19</f>
        <v>#REF!</v>
      </c>
    </row>
    <row r="20" spans="1:8" ht="12.75">
      <c r="A20" s="51" t="s">
        <v>16</v>
      </c>
      <c r="B20" s="10"/>
      <c r="C20" s="11"/>
      <c r="D20" s="12"/>
      <c r="E20" s="11"/>
      <c r="F20" s="11"/>
      <c r="G20" s="11"/>
      <c r="H20" s="11" t="e">
        <f>SUM(H16:H19)</f>
        <v>#REF!</v>
      </c>
    </row>
    <row r="21" spans="1:8" ht="12.75">
      <c r="A21" s="20">
        <f>A19+1</f>
        <v>13</v>
      </c>
      <c r="B21" s="21">
        <v>41412</v>
      </c>
      <c r="C21" s="11" t="e">
        <f>G19+H20</f>
        <v>#REF!</v>
      </c>
      <c r="D21" s="12" t="e">
        <f>#REF!</f>
        <v>#REF!</v>
      </c>
      <c r="E21" s="11" t="e">
        <f>C21+(C21*D21)</f>
        <v>#REF!</v>
      </c>
      <c r="F21" s="11">
        <v>2291.37</v>
      </c>
      <c r="G21" s="11" t="e">
        <f>E21-F21-H21</f>
        <v>#REF!</v>
      </c>
      <c r="H21" s="11" t="e">
        <f aca="true" t="shared" si="1" ref="H21:H32">C21*D21</f>
        <v>#REF!</v>
      </c>
    </row>
    <row r="22" spans="1:8" ht="12.75">
      <c r="A22" s="20">
        <f t="shared" si="0"/>
        <v>14</v>
      </c>
      <c r="B22" s="21">
        <v>41443</v>
      </c>
      <c r="C22" s="11" t="e">
        <f>G21</f>
        <v>#REF!</v>
      </c>
      <c r="D22" s="12" t="e">
        <f>#REF!</f>
        <v>#REF!</v>
      </c>
      <c r="E22" s="11" t="e">
        <f>C22+(C22*Planilha2!D22)</f>
        <v>#REF!</v>
      </c>
      <c r="F22" s="11">
        <v>2291.37</v>
      </c>
      <c r="G22" s="11" t="e">
        <f aca="true" t="shared" si="2" ref="G22:G32">E22-F22-H22</f>
        <v>#REF!</v>
      </c>
      <c r="H22" s="11" t="e">
        <f t="shared" si="1"/>
        <v>#REF!</v>
      </c>
    </row>
    <row r="23" spans="1:8" ht="12.75">
      <c r="A23" s="20">
        <f t="shared" si="0"/>
        <v>15</v>
      </c>
      <c r="B23" s="21">
        <v>41473</v>
      </c>
      <c r="C23" s="11" t="e">
        <f>G22</f>
        <v>#REF!</v>
      </c>
      <c r="D23" s="12" t="e">
        <f>#REF!</f>
        <v>#REF!</v>
      </c>
      <c r="E23" s="11" t="e">
        <f>C23+(C23*Planilha2!D23)</f>
        <v>#REF!</v>
      </c>
      <c r="F23" s="11">
        <v>2291.37</v>
      </c>
      <c r="G23" s="11" t="e">
        <f t="shared" si="2"/>
        <v>#REF!</v>
      </c>
      <c r="H23" s="11" t="e">
        <f t="shared" si="1"/>
        <v>#REF!</v>
      </c>
    </row>
    <row r="24" spans="1:8" ht="12.75">
      <c r="A24" s="20">
        <f t="shared" si="0"/>
        <v>16</v>
      </c>
      <c r="B24" s="21">
        <v>41504</v>
      </c>
      <c r="C24" s="11" t="e">
        <f aca="true" t="shared" si="3" ref="C24:C32">G23</f>
        <v>#REF!</v>
      </c>
      <c r="D24" s="12" t="e">
        <f>#REF!</f>
        <v>#REF!</v>
      </c>
      <c r="E24" s="11" t="e">
        <f>C24+(C24*Planilha2!D24)</f>
        <v>#REF!</v>
      </c>
      <c r="F24" s="11">
        <v>2291.37</v>
      </c>
      <c r="G24" s="11" t="e">
        <f t="shared" si="2"/>
        <v>#REF!</v>
      </c>
      <c r="H24" s="11" t="e">
        <f t="shared" si="1"/>
        <v>#REF!</v>
      </c>
    </row>
    <row r="25" spans="1:8" ht="12.75">
      <c r="A25" s="20">
        <f t="shared" si="0"/>
        <v>17</v>
      </c>
      <c r="B25" s="21">
        <v>41535</v>
      </c>
      <c r="C25" s="11" t="e">
        <f t="shared" si="3"/>
        <v>#REF!</v>
      </c>
      <c r="D25" s="12" t="e">
        <f>#REF!</f>
        <v>#REF!</v>
      </c>
      <c r="E25" s="11" t="e">
        <f>C25+(C25*Planilha2!D25)</f>
        <v>#REF!</v>
      </c>
      <c r="F25" s="11">
        <v>2291.37</v>
      </c>
      <c r="G25" s="11" t="e">
        <f t="shared" si="2"/>
        <v>#REF!</v>
      </c>
      <c r="H25" s="11" t="e">
        <f t="shared" si="1"/>
        <v>#REF!</v>
      </c>
    </row>
    <row r="26" spans="1:8" ht="12.75">
      <c r="A26" s="20">
        <f t="shared" si="0"/>
        <v>18</v>
      </c>
      <c r="B26" s="21">
        <v>41565</v>
      </c>
      <c r="C26" s="11" t="e">
        <f t="shared" si="3"/>
        <v>#REF!</v>
      </c>
      <c r="D26" s="12">
        <v>0.021622</v>
      </c>
      <c r="E26" s="11" t="e">
        <f>C26+(C26*Planilha2!D26)</f>
        <v>#REF!</v>
      </c>
      <c r="F26" s="11">
        <v>2291.37</v>
      </c>
      <c r="G26" s="11" t="e">
        <f t="shared" si="2"/>
        <v>#REF!</v>
      </c>
      <c r="H26" s="11" t="e">
        <f t="shared" si="1"/>
        <v>#REF!</v>
      </c>
    </row>
    <row r="27" spans="1:8" ht="12.75">
      <c r="A27" s="20">
        <f t="shared" si="0"/>
        <v>19</v>
      </c>
      <c r="B27" s="21">
        <v>41596</v>
      </c>
      <c r="C27" s="11" t="e">
        <f t="shared" si="3"/>
        <v>#REF!</v>
      </c>
      <c r="D27" s="12">
        <v>0.021622</v>
      </c>
      <c r="E27" s="11" t="e">
        <f>C27+(C27*Planilha2!D27)</f>
        <v>#REF!</v>
      </c>
      <c r="F27" s="11">
        <v>2291.37</v>
      </c>
      <c r="G27" s="11" t="e">
        <f t="shared" si="2"/>
        <v>#REF!</v>
      </c>
      <c r="H27" s="11" t="e">
        <f t="shared" si="1"/>
        <v>#REF!</v>
      </c>
    </row>
    <row r="28" spans="1:8" ht="12.75">
      <c r="A28" s="20">
        <f t="shared" si="0"/>
        <v>20</v>
      </c>
      <c r="B28" s="21">
        <v>41626</v>
      </c>
      <c r="C28" s="11" t="e">
        <f t="shared" si="3"/>
        <v>#REF!</v>
      </c>
      <c r="D28" s="12">
        <v>0.021622</v>
      </c>
      <c r="E28" s="11" t="e">
        <f>C28+(C28*Planilha2!D28)</f>
        <v>#REF!</v>
      </c>
      <c r="F28" s="11">
        <v>2291.37</v>
      </c>
      <c r="G28" s="11" t="e">
        <f t="shared" si="2"/>
        <v>#REF!</v>
      </c>
      <c r="H28" s="11" t="e">
        <f t="shared" si="1"/>
        <v>#REF!</v>
      </c>
    </row>
    <row r="29" spans="1:8" ht="12.75">
      <c r="A29" s="51">
        <f>A28+1</f>
        <v>21</v>
      </c>
      <c r="B29" s="21">
        <v>41657</v>
      </c>
      <c r="C29" s="11" t="e">
        <f t="shared" si="3"/>
        <v>#REF!</v>
      </c>
      <c r="D29" s="12">
        <v>0.021622</v>
      </c>
      <c r="E29" s="11" t="e">
        <f>C29+(C29*Planilha2!D29)</f>
        <v>#REF!</v>
      </c>
      <c r="F29" s="11">
        <v>2291.37</v>
      </c>
      <c r="G29" s="11" t="e">
        <f t="shared" si="2"/>
        <v>#REF!</v>
      </c>
      <c r="H29" s="11" t="e">
        <f t="shared" si="1"/>
        <v>#REF!</v>
      </c>
    </row>
    <row r="30" spans="1:8" ht="12.75">
      <c r="A30" s="20">
        <f>A29+1</f>
        <v>22</v>
      </c>
      <c r="B30" s="21">
        <v>41688</v>
      </c>
      <c r="C30" s="11" t="e">
        <f t="shared" si="3"/>
        <v>#REF!</v>
      </c>
      <c r="D30" s="12">
        <v>0.021622</v>
      </c>
      <c r="E30" s="11" t="e">
        <f>C30+(C30*Planilha2!D30)</f>
        <v>#REF!</v>
      </c>
      <c r="F30" s="11">
        <v>2291.37</v>
      </c>
      <c r="G30" s="11" t="e">
        <f t="shared" si="2"/>
        <v>#REF!</v>
      </c>
      <c r="H30" s="11" t="e">
        <f t="shared" si="1"/>
        <v>#REF!</v>
      </c>
    </row>
    <row r="31" spans="1:8" ht="12.75">
      <c r="A31" s="20">
        <f aca="true" t="shared" si="4" ref="A31:A41">A30+1</f>
        <v>23</v>
      </c>
      <c r="B31" s="21">
        <v>41716</v>
      </c>
      <c r="C31" s="11" t="e">
        <f t="shared" si="3"/>
        <v>#REF!</v>
      </c>
      <c r="D31" s="12">
        <v>0.021622</v>
      </c>
      <c r="E31" s="11" t="e">
        <f>C31+(C31*Planilha2!D31)</f>
        <v>#REF!</v>
      </c>
      <c r="F31" s="11">
        <v>2291.37</v>
      </c>
      <c r="G31" s="11" t="e">
        <f t="shared" si="2"/>
        <v>#REF!</v>
      </c>
      <c r="H31" s="11" t="e">
        <f t="shared" si="1"/>
        <v>#REF!</v>
      </c>
    </row>
    <row r="32" spans="1:8" ht="12.75">
      <c r="A32" s="20">
        <f t="shared" si="4"/>
        <v>24</v>
      </c>
      <c r="B32" s="21">
        <v>41747</v>
      </c>
      <c r="C32" s="11" t="e">
        <f t="shared" si="3"/>
        <v>#REF!</v>
      </c>
      <c r="D32" s="12">
        <v>0.021622</v>
      </c>
      <c r="E32" s="11" t="e">
        <f>C32+(C32*Planilha2!D32)</f>
        <v>#REF!</v>
      </c>
      <c r="F32" s="11">
        <v>2291.37</v>
      </c>
      <c r="G32" s="11" t="e">
        <f t="shared" si="2"/>
        <v>#REF!</v>
      </c>
      <c r="H32" s="11" t="e">
        <f t="shared" si="1"/>
        <v>#REF!</v>
      </c>
    </row>
    <row r="33" spans="1:8" ht="12.75">
      <c r="A33" s="51" t="s">
        <v>16</v>
      </c>
      <c r="B33" s="10"/>
      <c r="C33" s="11"/>
      <c r="D33" s="12"/>
      <c r="E33" s="11"/>
      <c r="F33" s="11"/>
      <c r="G33" s="11"/>
      <c r="H33" s="11" t="e">
        <f>SUM(H21:H32)</f>
        <v>#REF!</v>
      </c>
    </row>
    <row r="34" spans="1:8" ht="12.75">
      <c r="A34" s="20">
        <f>A32+1</f>
        <v>25</v>
      </c>
      <c r="B34" s="21">
        <v>41777</v>
      </c>
      <c r="C34" s="11" t="e">
        <f>G32+H33</f>
        <v>#REF!</v>
      </c>
      <c r="D34" s="12">
        <v>0.021622</v>
      </c>
      <c r="E34" s="11" t="e">
        <f>C34+(C34*Planilha2!D34)</f>
        <v>#REF!</v>
      </c>
      <c r="F34" s="11">
        <v>2291.37</v>
      </c>
      <c r="G34" s="11" t="e">
        <f>E34-F34-H34</f>
        <v>#REF!</v>
      </c>
      <c r="H34" s="11" t="e">
        <f aca="true" t="shared" si="5" ref="H34:H45">C34*D34</f>
        <v>#REF!</v>
      </c>
    </row>
    <row r="35" spans="1:8" ht="12.75">
      <c r="A35" s="20">
        <f t="shared" si="4"/>
        <v>26</v>
      </c>
      <c r="B35" s="21">
        <v>41808</v>
      </c>
      <c r="C35" s="11" t="e">
        <f aca="true" t="shared" si="6" ref="C35:C45">G34</f>
        <v>#REF!</v>
      </c>
      <c r="D35" s="12">
        <v>0.021622</v>
      </c>
      <c r="E35" s="11" t="e">
        <f>C35+(C35*Planilha2!D35)</f>
        <v>#REF!</v>
      </c>
      <c r="F35" s="11">
        <v>2291.37</v>
      </c>
      <c r="G35" s="11" t="e">
        <f aca="true" t="shared" si="7" ref="G35:G45">E35-F35-H35</f>
        <v>#REF!</v>
      </c>
      <c r="H35" s="11" t="e">
        <f t="shared" si="5"/>
        <v>#REF!</v>
      </c>
    </row>
    <row r="36" spans="1:8" ht="12.75">
      <c r="A36" s="20">
        <f t="shared" si="4"/>
        <v>27</v>
      </c>
      <c r="B36" s="21">
        <v>41838</v>
      </c>
      <c r="C36" s="11" t="e">
        <f t="shared" si="6"/>
        <v>#REF!</v>
      </c>
      <c r="D36" s="12">
        <v>0.021622</v>
      </c>
      <c r="E36" s="11" t="e">
        <f>C36+(C36*Planilha2!D36)</f>
        <v>#REF!</v>
      </c>
      <c r="F36" s="11">
        <v>2291.37</v>
      </c>
      <c r="G36" s="11" t="e">
        <f t="shared" si="7"/>
        <v>#REF!</v>
      </c>
      <c r="H36" s="11" t="e">
        <f t="shared" si="5"/>
        <v>#REF!</v>
      </c>
    </row>
    <row r="37" spans="1:8" ht="12.75">
      <c r="A37" s="20">
        <f t="shared" si="4"/>
        <v>28</v>
      </c>
      <c r="B37" s="21">
        <v>41869</v>
      </c>
      <c r="C37" s="11" t="e">
        <f t="shared" si="6"/>
        <v>#REF!</v>
      </c>
      <c r="D37" s="12">
        <v>0.021622</v>
      </c>
      <c r="E37" s="11" t="e">
        <f>C37+(C37*Planilha2!D37)</f>
        <v>#REF!</v>
      </c>
      <c r="F37" s="11">
        <v>2291.37</v>
      </c>
      <c r="G37" s="11" t="e">
        <f t="shared" si="7"/>
        <v>#REF!</v>
      </c>
      <c r="H37" s="11" t="e">
        <f t="shared" si="5"/>
        <v>#REF!</v>
      </c>
    </row>
    <row r="38" spans="1:8" ht="12.75">
      <c r="A38" s="20">
        <f t="shared" si="4"/>
        <v>29</v>
      </c>
      <c r="B38" s="21">
        <v>41900</v>
      </c>
      <c r="C38" s="11" t="e">
        <f t="shared" si="6"/>
        <v>#REF!</v>
      </c>
      <c r="D38" s="12">
        <v>0.021622</v>
      </c>
      <c r="E38" s="11" t="e">
        <f>C38+(C38*Planilha2!D38)</f>
        <v>#REF!</v>
      </c>
      <c r="F38" s="11">
        <v>2291.37</v>
      </c>
      <c r="G38" s="11" t="e">
        <f t="shared" si="7"/>
        <v>#REF!</v>
      </c>
      <c r="H38" s="11" t="e">
        <f t="shared" si="5"/>
        <v>#REF!</v>
      </c>
    </row>
    <row r="39" spans="1:8" ht="12.75">
      <c r="A39" s="20">
        <f t="shared" si="4"/>
        <v>30</v>
      </c>
      <c r="B39" s="21">
        <v>41930</v>
      </c>
      <c r="C39" s="11" t="e">
        <f t="shared" si="6"/>
        <v>#REF!</v>
      </c>
      <c r="D39" s="12">
        <v>0.021622</v>
      </c>
      <c r="E39" s="11" t="e">
        <f>C39+(C39*Planilha2!D39)</f>
        <v>#REF!</v>
      </c>
      <c r="F39" s="11">
        <v>2291.37</v>
      </c>
      <c r="G39" s="11" t="e">
        <f t="shared" si="7"/>
        <v>#REF!</v>
      </c>
      <c r="H39" s="11" t="e">
        <f t="shared" si="5"/>
        <v>#REF!</v>
      </c>
    </row>
    <row r="40" spans="1:8" ht="12.75">
      <c r="A40" s="20">
        <f t="shared" si="4"/>
        <v>31</v>
      </c>
      <c r="B40" s="21">
        <v>41961</v>
      </c>
      <c r="C40" s="11" t="e">
        <f t="shared" si="6"/>
        <v>#REF!</v>
      </c>
      <c r="D40" s="12">
        <v>0.021622</v>
      </c>
      <c r="E40" s="11" t="e">
        <f>C40+(C40*Planilha2!D40)</f>
        <v>#REF!</v>
      </c>
      <c r="F40" s="11">
        <v>2291.37</v>
      </c>
      <c r="G40" s="11" t="e">
        <f t="shared" si="7"/>
        <v>#REF!</v>
      </c>
      <c r="H40" s="11" t="e">
        <f t="shared" si="5"/>
        <v>#REF!</v>
      </c>
    </row>
    <row r="41" spans="1:8" ht="12.75">
      <c r="A41" s="20">
        <f t="shared" si="4"/>
        <v>32</v>
      </c>
      <c r="B41" s="21">
        <v>41991</v>
      </c>
      <c r="C41" s="11" t="e">
        <f t="shared" si="6"/>
        <v>#REF!</v>
      </c>
      <c r="D41" s="12">
        <v>0.021622</v>
      </c>
      <c r="E41" s="11" t="e">
        <f>C41+(C41*Planilha2!D41)</f>
        <v>#REF!</v>
      </c>
      <c r="F41" s="11">
        <v>2291.37</v>
      </c>
      <c r="G41" s="11" t="e">
        <f t="shared" si="7"/>
        <v>#REF!</v>
      </c>
      <c r="H41" s="53" t="e">
        <f t="shared" si="5"/>
        <v>#REF!</v>
      </c>
    </row>
    <row r="42" spans="1:8" ht="12.75">
      <c r="A42" s="20">
        <f>A41+1</f>
        <v>33</v>
      </c>
      <c r="B42" s="21">
        <v>42022</v>
      </c>
      <c r="C42" s="11" t="e">
        <f t="shared" si="6"/>
        <v>#REF!</v>
      </c>
      <c r="D42" s="12">
        <v>0.021622</v>
      </c>
      <c r="E42" s="11" t="e">
        <f>C42+(C42*Planilha2!D42)</f>
        <v>#REF!</v>
      </c>
      <c r="F42" s="11">
        <v>2291.37</v>
      </c>
      <c r="G42" s="11" t="e">
        <f t="shared" si="7"/>
        <v>#REF!</v>
      </c>
      <c r="H42" s="11" t="e">
        <f t="shared" si="5"/>
        <v>#REF!</v>
      </c>
    </row>
    <row r="43" spans="1:8" ht="12.75">
      <c r="A43" s="20">
        <f aca="true" t="shared" si="8" ref="A43:A54">A42+1</f>
        <v>34</v>
      </c>
      <c r="B43" s="21">
        <v>42053</v>
      </c>
      <c r="C43" s="11" t="e">
        <f t="shared" si="6"/>
        <v>#REF!</v>
      </c>
      <c r="D43" s="12">
        <v>0.021622</v>
      </c>
      <c r="E43" s="11" t="e">
        <f>C43+(C43*Planilha2!D43)</f>
        <v>#REF!</v>
      </c>
      <c r="F43" s="11">
        <v>2291.37</v>
      </c>
      <c r="G43" s="11" t="e">
        <f t="shared" si="7"/>
        <v>#REF!</v>
      </c>
      <c r="H43" s="11" t="e">
        <f t="shared" si="5"/>
        <v>#REF!</v>
      </c>
    </row>
    <row r="44" spans="1:8" ht="12.75">
      <c r="A44" s="20">
        <f t="shared" si="8"/>
        <v>35</v>
      </c>
      <c r="B44" s="21">
        <v>42081</v>
      </c>
      <c r="C44" s="11" t="e">
        <f t="shared" si="6"/>
        <v>#REF!</v>
      </c>
      <c r="D44" s="12">
        <v>0.021622</v>
      </c>
      <c r="E44" s="11" t="e">
        <f>C44+(C44*Planilha2!D44)</f>
        <v>#REF!</v>
      </c>
      <c r="F44" s="11">
        <v>2291.37</v>
      </c>
      <c r="G44" s="11" t="e">
        <f t="shared" si="7"/>
        <v>#REF!</v>
      </c>
      <c r="H44" s="11" t="e">
        <f t="shared" si="5"/>
        <v>#REF!</v>
      </c>
    </row>
    <row r="45" spans="1:8" ht="12.75">
      <c r="A45" s="20">
        <f t="shared" si="8"/>
        <v>36</v>
      </c>
      <c r="B45" s="21">
        <v>42112</v>
      </c>
      <c r="C45" s="11" t="e">
        <f t="shared" si="6"/>
        <v>#REF!</v>
      </c>
      <c r="D45" s="12">
        <v>0.021622</v>
      </c>
      <c r="E45" s="11" t="e">
        <f>C45+(C45*Planilha2!D45)</f>
        <v>#REF!</v>
      </c>
      <c r="F45" s="11">
        <v>2291.37</v>
      </c>
      <c r="G45" s="11" t="e">
        <f t="shared" si="7"/>
        <v>#REF!</v>
      </c>
      <c r="H45" s="11" t="e">
        <f t="shared" si="5"/>
        <v>#REF!</v>
      </c>
    </row>
    <row r="46" spans="1:8" ht="12.75">
      <c r="A46" s="51" t="s">
        <v>16</v>
      </c>
      <c r="B46" s="10"/>
      <c r="C46" s="11"/>
      <c r="D46" s="12"/>
      <c r="E46" s="11"/>
      <c r="F46" s="11"/>
      <c r="G46" s="11"/>
      <c r="H46" s="11" t="e">
        <f>SUM(H34:H45)</f>
        <v>#REF!</v>
      </c>
    </row>
    <row r="47" spans="1:8" ht="12.75">
      <c r="A47" s="20">
        <f>A45+1</f>
        <v>37</v>
      </c>
      <c r="B47" s="21">
        <v>42142</v>
      </c>
      <c r="C47" s="11" t="e">
        <f>G45+H46</f>
        <v>#REF!</v>
      </c>
      <c r="D47" s="12">
        <v>0.021622</v>
      </c>
      <c r="E47" s="11" t="e">
        <f>C47+(C47*Planilha2!D47)</f>
        <v>#REF!</v>
      </c>
      <c r="F47" s="11">
        <v>2291.37</v>
      </c>
      <c r="G47" s="11" t="e">
        <f>E47-F47-H47</f>
        <v>#REF!</v>
      </c>
      <c r="H47" s="11" t="e">
        <f aca="true" t="shared" si="9" ref="H47:H57">C47*D47</f>
        <v>#REF!</v>
      </c>
    </row>
    <row r="48" spans="1:8" ht="12.75">
      <c r="A48" s="20">
        <f t="shared" si="8"/>
        <v>38</v>
      </c>
      <c r="B48" s="21">
        <v>42173</v>
      </c>
      <c r="C48" s="11" t="e">
        <f>G47</f>
        <v>#REF!</v>
      </c>
      <c r="D48" s="12">
        <v>0.021622</v>
      </c>
      <c r="E48" s="11" t="e">
        <f>C48+(C48*Planilha2!D48)</f>
        <v>#REF!</v>
      </c>
      <c r="F48" s="11">
        <v>2291.37</v>
      </c>
      <c r="G48" s="11" t="e">
        <f aca="true" t="shared" si="10" ref="G48:G57">E48-F48-H48</f>
        <v>#REF!</v>
      </c>
      <c r="H48" s="11" t="e">
        <f t="shared" si="9"/>
        <v>#REF!</v>
      </c>
    </row>
    <row r="49" spans="1:8" ht="12.75">
      <c r="A49" s="20">
        <f t="shared" si="8"/>
        <v>39</v>
      </c>
      <c r="B49" s="21">
        <v>42203</v>
      </c>
      <c r="C49" s="11" t="e">
        <f aca="true" t="shared" si="11" ref="C49:C57">G48</f>
        <v>#REF!</v>
      </c>
      <c r="D49" s="12">
        <v>0.021622</v>
      </c>
      <c r="E49" s="11" t="e">
        <f>C49+(C49*Planilha2!D49)</f>
        <v>#REF!</v>
      </c>
      <c r="F49" s="11">
        <v>2291.37</v>
      </c>
      <c r="G49" s="11" t="e">
        <f t="shared" si="10"/>
        <v>#REF!</v>
      </c>
      <c r="H49" s="11" t="e">
        <f t="shared" si="9"/>
        <v>#REF!</v>
      </c>
    </row>
    <row r="50" spans="1:8" ht="12.75">
      <c r="A50" s="20">
        <f t="shared" si="8"/>
        <v>40</v>
      </c>
      <c r="B50" s="21">
        <v>42234</v>
      </c>
      <c r="C50" s="11" t="e">
        <f t="shared" si="11"/>
        <v>#REF!</v>
      </c>
      <c r="D50" s="12">
        <v>0.021622</v>
      </c>
      <c r="E50" s="11" t="e">
        <f>C50+(C50*Planilha2!D50)</f>
        <v>#REF!</v>
      </c>
      <c r="F50" s="11">
        <v>2291.37</v>
      </c>
      <c r="G50" s="11" t="e">
        <f t="shared" si="10"/>
        <v>#REF!</v>
      </c>
      <c r="H50" s="11" t="e">
        <f t="shared" si="9"/>
        <v>#REF!</v>
      </c>
    </row>
    <row r="51" spans="1:8" ht="12.75">
      <c r="A51" s="20">
        <f t="shared" si="8"/>
        <v>41</v>
      </c>
      <c r="B51" s="21">
        <v>42265</v>
      </c>
      <c r="C51" s="11" t="e">
        <f t="shared" si="11"/>
        <v>#REF!</v>
      </c>
      <c r="D51" s="12">
        <v>0.021622</v>
      </c>
      <c r="E51" s="11" t="e">
        <f>C51+(C51*Planilha2!D51)</f>
        <v>#REF!</v>
      </c>
      <c r="F51" s="11">
        <v>2291.37</v>
      </c>
      <c r="G51" s="11" t="e">
        <f t="shared" si="10"/>
        <v>#REF!</v>
      </c>
      <c r="H51" s="11" t="e">
        <f t="shared" si="9"/>
        <v>#REF!</v>
      </c>
    </row>
    <row r="52" spans="1:8" ht="12.75">
      <c r="A52" s="20">
        <f t="shared" si="8"/>
        <v>42</v>
      </c>
      <c r="B52" s="21">
        <v>42295</v>
      </c>
      <c r="C52" s="11" t="e">
        <f t="shared" si="11"/>
        <v>#REF!</v>
      </c>
      <c r="D52" s="12">
        <v>0.021622</v>
      </c>
      <c r="E52" s="11" t="e">
        <f>C52+(C52*Planilha2!D52)</f>
        <v>#REF!</v>
      </c>
      <c r="F52" s="11">
        <v>2291.37</v>
      </c>
      <c r="G52" s="11" t="e">
        <f t="shared" si="10"/>
        <v>#REF!</v>
      </c>
      <c r="H52" s="11" t="e">
        <f t="shared" si="9"/>
        <v>#REF!</v>
      </c>
    </row>
    <row r="53" spans="1:8" ht="12.75">
      <c r="A53" s="20">
        <f t="shared" si="8"/>
        <v>43</v>
      </c>
      <c r="B53" s="21">
        <v>42326</v>
      </c>
      <c r="C53" s="11" t="e">
        <f t="shared" si="11"/>
        <v>#REF!</v>
      </c>
      <c r="D53" s="12">
        <v>0.021622</v>
      </c>
      <c r="E53" s="11" t="e">
        <f>C53+(C53*Planilha2!D53)</f>
        <v>#REF!</v>
      </c>
      <c r="F53" s="11">
        <v>2291.37</v>
      </c>
      <c r="G53" s="11" t="e">
        <f t="shared" si="10"/>
        <v>#REF!</v>
      </c>
      <c r="H53" s="11" t="e">
        <f t="shared" si="9"/>
        <v>#REF!</v>
      </c>
    </row>
    <row r="54" spans="1:8" ht="12.75">
      <c r="A54" s="20">
        <f t="shared" si="8"/>
        <v>44</v>
      </c>
      <c r="B54" s="21">
        <v>42356</v>
      </c>
      <c r="C54" s="11" t="e">
        <f t="shared" si="11"/>
        <v>#REF!</v>
      </c>
      <c r="D54" s="12">
        <v>0.021622</v>
      </c>
      <c r="E54" s="11" t="e">
        <f>C54+(C54*Planilha2!D54)</f>
        <v>#REF!</v>
      </c>
      <c r="F54" s="11">
        <v>2291.37</v>
      </c>
      <c r="G54" s="11" t="e">
        <f t="shared" si="10"/>
        <v>#REF!</v>
      </c>
      <c r="H54" s="53" t="e">
        <f t="shared" si="9"/>
        <v>#REF!</v>
      </c>
    </row>
    <row r="55" spans="1:8" ht="12.75">
      <c r="A55" s="20">
        <f>A54+1</f>
        <v>45</v>
      </c>
      <c r="B55" s="21">
        <v>42387</v>
      </c>
      <c r="C55" s="11" t="e">
        <f t="shared" si="11"/>
        <v>#REF!</v>
      </c>
      <c r="D55" s="12">
        <v>0.021622</v>
      </c>
      <c r="E55" s="11" t="e">
        <f>C55+(C55*Planilha2!D55)</f>
        <v>#REF!</v>
      </c>
      <c r="F55" s="11">
        <v>2291.37</v>
      </c>
      <c r="G55" s="11" t="e">
        <f t="shared" si="10"/>
        <v>#REF!</v>
      </c>
      <c r="H55" s="11" t="e">
        <f t="shared" si="9"/>
        <v>#REF!</v>
      </c>
    </row>
    <row r="56" spans="1:8" ht="12.75">
      <c r="A56" s="20">
        <f>A55+1</f>
        <v>46</v>
      </c>
      <c r="B56" s="21">
        <v>42418</v>
      </c>
      <c r="C56" s="11" t="e">
        <f t="shared" si="11"/>
        <v>#REF!</v>
      </c>
      <c r="D56" s="12">
        <v>0.021622</v>
      </c>
      <c r="E56" s="11" t="e">
        <f>C56+(C56*Planilha2!D56)</f>
        <v>#REF!</v>
      </c>
      <c r="F56" s="11">
        <v>2291.37</v>
      </c>
      <c r="G56" s="11" t="e">
        <f t="shared" si="10"/>
        <v>#REF!</v>
      </c>
      <c r="H56" s="11" t="e">
        <f t="shared" si="9"/>
        <v>#REF!</v>
      </c>
    </row>
    <row r="57" spans="1:8" ht="12.75">
      <c r="A57" s="20">
        <f>A56+1</f>
        <v>47</v>
      </c>
      <c r="B57" s="21">
        <v>42447</v>
      </c>
      <c r="C57" s="11" t="e">
        <f t="shared" si="11"/>
        <v>#REF!</v>
      </c>
      <c r="D57" s="12">
        <v>0.021622</v>
      </c>
      <c r="E57" s="11" t="e">
        <f>C57+(C57*Planilha2!D57)</f>
        <v>#REF!</v>
      </c>
      <c r="F57" s="11">
        <v>2291.37</v>
      </c>
      <c r="G57" s="11" t="e">
        <f t="shared" si="10"/>
        <v>#REF!</v>
      </c>
      <c r="H57" s="11" t="e">
        <f t="shared" si="9"/>
        <v>#REF!</v>
      </c>
    </row>
    <row r="58" spans="1:8" ht="12.75">
      <c r="A58" s="20">
        <f>A57+1</f>
        <v>48</v>
      </c>
      <c r="B58" s="21">
        <v>42478</v>
      </c>
      <c r="C58" s="11" t="e">
        <f>G57</f>
        <v>#REF!</v>
      </c>
      <c r="D58" s="12">
        <v>0.021622</v>
      </c>
      <c r="E58" s="11" t="e">
        <f>C58+(C58*Planilha2!D58)</f>
        <v>#REF!</v>
      </c>
      <c r="F58" s="11">
        <v>2291.37</v>
      </c>
      <c r="G58" s="11" t="e">
        <f>E58-F58-H58</f>
        <v>#REF!</v>
      </c>
      <c r="H58" s="11" t="e">
        <f>C58*D58</f>
        <v>#REF!</v>
      </c>
    </row>
    <row r="59" spans="1:8" ht="12.75">
      <c r="A59" s="51" t="s">
        <v>16</v>
      </c>
      <c r="B59" s="10"/>
      <c r="C59" s="11"/>
      <c r="D59" s="12"/>
      <c r="E59" s="11"/>
      <c r="F59" s="11"/>
      <c r="G59" s="11"/>
      <c r="H59" s="11" t="e">
        <f>SUM(H47:H58)</f>
        <v>#REF!</v>
      </c>
    </row>
    <row r="60" spans="1:8" ht="12.75">
      <c r="A60" s="20">
        <f>A58+1</f>
        <v>49</v>
      </c>
      <c r="B60" s="21">
        <v>42508</v>
      </c>
      <c r="C60" s="11" t="e">
        <f>G58+H59</f>
        <v>#REF!</v>
      </c>
      <c r="D60" s="12">
        <v>0.021622</v>
      </c>
      <c r="E60" s="11" t="e">
        <f>C60+(C60*Planilha2!D60)</f>
        <v>#REF!</v>
      </c>
      <c r="F60" s="11">
        <v>2291.37</v>
      </c>
      <c r="G60" s="11" t="e">
        <f>E60-F60-H60</f>
        <v>#REF!</v>
      </c>
      <c r="H60" s="11" t="e">
        <f aca="true" t="shared" si="12" ref="H60:H70">C60*D60</f>
        <v>#REF!</v>
      </c>
    </row>
    <row r="61" spans="1:8" ht="12.75">
      <c r="A61" s="20">
        <f aca="true" t="shared" si="13" ref="A61:A67">A60+1</f>
        <v>50</v>
      </c>
      <c r="B61" s="21">
        <v>42539</v>
      </c>
      <c r="C61" s="11" t="e">
        <f>G60</f>
        <v>#REF!</v>
      </c>
      <c r="D61" s="12">
        <v>0.021622</v>
      </c>
      <c r="E61" s="11" t="e">
        <f>C61+(C61*Planilha2!D61)</f>
        <v>#REF!</v>
      </c>
      <c r="F61" s="11">
        <v>2291.37</v>
      </c>
      <c r="G61" s="11" t="e">
        <f aca="true" t="shared" si="14" ref="G61:G70">E61-F61-H61</f>
        <v>#REF!</v>
      </c>
      <c r="H61" s="11" t="e">
        <f t="shared" si="12"/>
        <v>#REF!</v>
      </c>
    </row>
    <row r="62" spans="1:8" ht="12.75">
      <c r="A62" s="20">
        <f t="shared" si="13"/>
        <v>51</v>
      </c>
      <c r="B62" s="21">
        <v>42569</v>
      </c>
      <c r="C62" s="11" t="e">
        <f aca="true" t="shared" si="15" ref="C62:C70">G61</f>
        <v>#REF!</v>
      </c>
      <c r="D62" s="12">
        <v>0.021622</v>
      </c>
      <c r="E62" s="11" t="e">
        <f>C62+(C62*Planilha2!D62)</f>
        <v>#REF!</v>
      </c>
      <c r="F62" s="11">
        <v>2291.37</v>
      </c>
      <c r="G62" s="11" t="e">
        <f t="shared" si="14"/>
        <v>#REF!</v>
      </c>
      <c r="H62" s="11" t="e">
        <f t="shared" si="12"/>
        <v>#REF!</v>
      </c>
    </row>
    <row r="63" spans="1:8" ht="12.75">
      <c r="A63" s="20">
        <f t="shared" si="13"/>
        <v>52</v>
      </c>
      <c r="B63" s="21">
        <v>42600</v>
      </c>
      <c r="C63" s="11" t="e">
        <f t="shared" si="15"/>
        <v>#REF!</v>
      </c>
      <c r="D63" s="12">
        <v>0.021622</v>
      </c>
      <c r="E63" s="11" t="e">
        <f>C63+(C63*Planilha2!D63)</f>
        <v>#REF!</v>
      </c>
      <c r="F63" s="11">
        <v>2291.37</v>
      </c>
      <c r="G63" s="11" t="e">
        <f t="shared" si="14"/>
        <v>#REF!</v>
      </c>
      <c r="H63" s="11" t="e">
        <f t="shared" si="12"/>
        <v>#REF!</v>
      </c>
    </row>
    <row r="64" spans="1:8" ht="12.75">
      <c r="A64" s="20">
        <f t="shared" si="13"/>
        <v>53</v>
      </c>
      <c r="B64" s="21">
        <v>42631</v>
      </c>
      <c r="C64" s="11" t="e">
        <f t="shared" si="15"/>
        <v>#REF!</v>
      </c>
      <c r="D64" s="12">
        <v>0.021622</v>
      </c>
      <c r="E64" s="11" t="e">
        <f>C64+(C64*Planilha2!D64)</f>
        <v>#REF!</v>
      </c>
      <c r="F64" s="11">
        <v>2291.37</v>
      </c>
      <c r="G64" s="11" t="e">
        <f t="shared" si="14"/>
        <v>#REF!</v>
      </c>
      <c r="H64" s="11" t="e">
        <f t="shared" si="12"/>
        <v>#REF!</v>
      </c>
    </row>
    <row r="65" spans="1:8" ht="12.75">
      <c r="A65" s="20">
        <f t="shared" si="13"/>
        <v>54</v>
      </c>
      <c r="B65" s="21">
        <v>42661</v>
      </c>
      <c r="C65" s="11" t="e">
        <f t="shared" si="15"/>
        <v>#REF!</v>
      </c>
      <c r="D65" s="12">
        <v>0.021622</v>
      </c>
      <c r="E65" s="11" t="e">
        <f>C65+(C65*Planilha2!D65)</f>
        <v>#REF!</v>
      </c>
      <c r="F65" s="11">
        <v>2291.37</v>
      </c>
      <c r="G65" s="11" t="e">
        <f t="shared" si="14"/>
        <v>#REF!</v>
      </c>
      <c r="H65" s="11" t="e">
        <f t="shared" si="12"/>
        <v>#REF!</v>
      </c>
    </row>
    <row r="66" spans="1:8" ht="12.75">
      <c r="A66" s="20">
        <f t="shared" si="13"/>
        <v>55</v>
      </c>
      <c r="B66" s="21">
        <v>42692</v>
      </c>
      <c r="C66" s="11" t="e">
        <f t="shared" si="15"/>
        <v>#REF!</v>
      </c>
      <c r="D66" s="12">
        <v>0.021622</v>
      </c>
      <c r="E66" s="11" t="e">
        <f>C66+(C66*Planilha2!D66)</f>
        <v>#REF!</v>
      </c>
      <c r="F66" s="11">
        <v>2291.37</v>
      </c>
      <c r="G66" s="11" t="e">
        <f t="shared" si="14"/>
        <v>#REF!</v>
      </c>
      <c r="H66" s="11" t="e">
        <f t="shared" si="12"/>
        <v>#REF!</v>
      </c>
    </row>
    <row r="67" spans="1:8" ht="12.75">
      <c r="A67" s="20">
        <f t="shared" si="13"/>
        <v>56</v>
      </c>
      <c r="B67" s="21">
        <v>42722</v>
      </c>
      <c r="C67" s="11" t="e">
        <f t="shared" si="15"/>
        <v>#REF!</v>
      </c>
      <c r="D67" s="12">
        <v>0.021622</v>
      </c>
      <c r="E67" s="11" t="e">
        <f>C67+(C67*Planilha2!D67)</f>
        <v>#REF!</v>
      </c>
      <c r="F67" s="11">
        <v>2291.37</v>
      </c>
      <c r="G67" s="11" t="e">
        <f t="shared" si="14"/>
        <v>#REF!</v>
      </c>
      <c r="H67" s="53" t="e">
        <f t="shared" si="12"/>
        <v>#REF!</v>
      </c>
    </row>
    <row r="68" spans="1:8" ht="12.75">
      <c r="A68" s="20">
        <f>A67+1</f>
        <v>57</v>
      </c>
      <c r="B68" s="21">
        <v>42753</v>
      </c>
      <c r="C68" s="11" t="e">
        <f t="shared" si="15"/>
        <v>#REF!</v>
      </c>
      <c r="D68" s="12">
        <v>0.021622</v>
      </c>
      <c r="E68" s="11" t="e">
        <f>C68+(C68*Planilha2!D68)</f>
        <v>#REF!</v>
      </c>
      <c r="F68" s="11">
        <v>2291.37</v>
      </c>
      <c r="G68" s="11" t="e">
        <f t="shared" si="14"/>
        <v>#REF!</v>
      </c>
      <c r="H68" s="11" t="e">
        <f t="shared" si="12"/>
        <v>#REF!</v>
      </c>
    </row>
    <row r="69" spans="1:8" ht="12.75">
      <c r="A69" s="20">
        <f>A68+1</f>
        <v>58</v>
      </c>
      <c r="B69" s="21">
        <v>42784</v>
      </c>
      <c r="C69" s="11" t="e">
        <f t="shared" si="15"/>
        <v>#REF!</v>
      </c>
      <c r="D69" s="12">
        <v>0.021622</v>
      </c>
      <c r="E69" s="11" t="e">
        <f>C69+(C69*Planilha2!D69)</f>
        <v>#REF!</v>
      </c>
      <c r="F69" s="11">
        <v>2291.37</v>
      </c>
      <c r="G69" s="11" t="e">
        <f t="shared" si="14"/>
        <v>#REF!</v>
      </c>
      <c r="H69" s="11" t="e">
        <f t="shared" si="12"/>
        <v>#REF!</v>
      </c>
    </row>
    <row r="70" spans="1:8" ht="12.75">
      <c r="A70" s="20">
        <f>A69+1</f>
        <v>59</v>
      </c>
      <c r="B70" s="21">
        <v>42812</v>
      </c>
      <c r="C70" s="11" t="e">
        <f t="shared" si="15"/>
        <v>#REF!</v>
      </c>
      <c r="D70" s="12">
        <v>0.021622</v>
      </c>
      <c r="E70" s="11" t="e">
        <f>C70+(C70*Planilha2!D70)</f>
        <v>#REF!</v>
      </c>
      <c r="F70" s="11">
        <v>2291.37</v>
      </c>
      <c r="G70" s="11" t="e">
        <f t="shared" si="14"/>
        <v>#REF!</v>
      </c>
      <c r="H70" s="11" t="e">
        <f t="shared" si="12"/>
        <v>#REF!</v>
      </c>
    </row>
    <row r="71" spans="1:8" ht="12.75">
      <c r="A71" s="20">
        <f>A70+1</f>
        <v>60</v>
      </c>
      <c r="B71" s="21">
        <v>42843</v>
      </c>
      <c r="C71" s="11" t="e">
        <f>G70</f>
        <v>#REF!</v>
      </c>
      <c r="D71" s="12">
        <v>0.021622</v>
      </c>
      <c r="E71" s="11" t="e">
        <f>C71+(C71*Planilha2!D71)</f>
        <v>#REF!</v>
      </c>
      <c r="F71" s="11">
        <v>2291.37</v>
      </c>
      <c r="G71" s="11" t="e">
        <f>E71-F71-H71</f>
        <v>#REF!</v>
      </c>
      <c r="H71" s="11" t="e">
        <f>C71*D71</f>
        <v>#REF!</v>
      </c>
    </row>
    <row r="72" ht="12.75">
      <c r="H72" s="17"/>
    </row>
    <row r="73" spans="1:8" ht="12.75">
      <c r="A73" s="13" t="s">
        <v>12</v>
      </c>
      <c r="B73" s="14"/>
      <c r="C73" s="15"/>
      <c r="D73" s="14"/>
      <c r="E73" s="16"/>
      <c r="F73" s="15"/>
      <c r="G73" s="15" t="e">
        <f>G71</f>
        <v>#REF!</v>
      </c>
      <c r="H73" s="15" t="e">
        <f>SUM(H60:H72)</f>
        <v>#REF!</v>
      </c>
    </row>
    <row r="75" spans="1:8" ht="12.75">
      <c r="A75" s="4" t="s">
        <v>29</v>
      </c>
      <c r="H75" s="18" t="e">
        <f>G73</f>
        <v>#REF!</v>
      </c>
    </row>
    <row r="76" spans="1:8" ht="12.75">
      <c r="A76" s="4" t="s">
        <v>32</v>
      </c>
      <c r="H76" s="19" t="e">
        <f>H73</f>
        <v>#REF!</v>
      </c>
    </row>
    <row r="77" spans="1:8" ht="12.75">
      <c r="A77" s="4" t="s">
        <v>33</v>
      </c>
      <c r="E77" s="4"/>
      <c r="F77" s="4"/>
      <c r="H77" s="18" t="e">
        <f>SUM(H75:H76)</f>
        <v>#REF!</v>
      </c>
    </row>
  </sheetData>
  <sheetProtection/>
  <printOptions/>
  <pageMargins left="0.9448818897637796" right="0.7874015748031497" top="1.062992125984252" bottom="0.38" header="1.09" footer="0.35433070866141736"/>
  <pageSetup horizontalDpi="300" verticalDpi="300" orientation="landscape" paperSize="9" r:id="rId1"/>
  <headerFooter alignWithMargins="0">
    <oddHeader>&amp;RAnexo: 04
Folha: 0&amp;P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6384" width="9.140625" style="64" customWidth="1"/>
  </cols>
  <sheetData>
    <row r="1" spans="1:9" ht="10.5">
      <c r="A1" s="63"/>
      <c r="I1" s="65" t="s">
        <v>127</v>
      </c>
    </row>
    <row r="2" spans="1:9" ht="10.5">
      <c r="A2" s="63"/>
      <c r="I2" s="65" t="s">
        <v>2</v>
      </c>
    </row>
    <row r="3" ht="10.5">
      <c r="A3" s="63"/>
    </row>
    <row r="4" spans="1:4" ht="10.5">
      <c r="A4" s="137" t="s">
        <v>183</v>
      </c>
      <c r="B4" s="137"/>
      <c r="C4" s="137"/>
      <c r="D4" s="137"/>
    </row>
    <row r="5" spans="1:4" ht="10.5">
      <c r="A5" s="137" t="s">
        <v>184</v>
      </c>
      <c r="B5" s="137"/>
      <c r="C5" s="137"/>
      <c r="D5" s="137"/>
    </row>
    <row r="6" spans="1:4" ht="10.5">
      <c r="A6" s="137" t="s">
        <v>185</v>
      </c>
      <c r="B6" s="137"/>
      <c r="C6" s="137"/>
      <c r="D6" s="137"/>
    </row>
    <row r="7" spans="1:4" ht="10.5">
      <c r="A7" s="137" t="s">
        <v>186</v>
      </c>
      <c r="B7" s="137"/>
      <c r="C7" s="137"/>
      <c r="D7" s="137"/>
    </row>
    <row r="8" spans="1:4" ht="10.5">
      <c r="A8" s="137" t="s">
        <v>187</v>
      </c>
      <c r="B8" s="137"/>
      <c r="C8" s="137"/>
      <c r="D8" s="137"/>
    </row>
    <row r="19" spans="4:7" ht="10.5">
      <c r="D19" s="60" t="s">
        <v>106</v>
      </c>
      <c r="E19" s="60"/>
      <c r="F19" s="60"/>
      <c r="G19" s="60"/>
    </row>
    <row r="21" ht="10.5">
      <c r="E21" s="60" t="s">
        <v>107</v>
      </c>
    </row>
    <row r="23" spans="4:7" ht="10.5">
      <c r="D23" s="60" t="s">
        <v>111</v>
      </c>
      <c r="E23" s="60"/>
      <c r="F23" s="60"/>
      <c r="G23" s="60"/>
    </row>
  </sheetData>
  <sheetProtection/>
  <mergeCells count="5">
    <mergeCell ref="A4:D4"/>
    <mergeCell ref="A5:D5"/>
    <mergeCell ref="A6:D6"/>
    <mergeCell ref="A7:D7"/>
    <mergeCell ref="A8:D8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N78" sqref="N78"/>
    </sheetView>
  </sheetViews>
  <sheetFormatPr defaultColWidth="14.28125" defaultRowHeight="12.75"/>
  <cols>
    <col min="1" max="1" width="11.00390625" style="64" customWidth="1"/>
    <col min="2" max="16384" width="13.28125" style="64" customWidth="1"/>
  </cols>
  <sheetData>
    <row r="1" spans="1:12" ht="10.5">
      <c r="A1" s="63"/>
      <c r="L1" s="65" t="s">
        <v>128</v>
      </c>
    </row>
    <row r="2" spans="1:12" ht="10.5">
      <c r="A2" s="63"/>
      <c r="L2" s="65" t="s">
        <v>2</v>
      </c>
    </row>
    <row r="3" spans="1:10" ht="10.5">
      <c r="A3" s="63"/>
      <c r="J3" s="65"/>
    </row>
    <row r="4" spans="1:10" ht="10.5">
      <c r="A4" s="60" t="s">
        <v>3</v>
      </c>
      <c r="C4" s="60" t="s">
        <v>188</v>
      </c>
      <c r="J4" s="60"/>
    </row>
    <row r="5" spans="1:3" ht="10.5">
      <c r="A5" s="60" t="s">
        <v>4</v>
      </c>
      <c r="C5" s="60" t="s">
        <v>188</v>
      </c>
    </row>
    <row r="6" spans="1:3" ht="10.5">
      <c r="A6" s="60"/>
      <c r="B6" s="60"/>
      <c r="C6" s="60" t="s">
        <v>109</v>
      </c>
    </row>
    <row r="7" spans="1:3" ht="10.5">
      <c r="A7" s="60"/>
      <c r="B7" s="60"/>
      <c r="C7" s="60"/>
    </row>
    <row r="8" ht="10.5">
      <c r="A8" s="64" t="s">
        <v>177</v>
      </c>
    </row>
    <row r="9" ht="10.5">
      <c r="A9" s="64" t="s">
        <v>176</v>
      </c>
    </row>
    <row r="10" ht="10.5">
      <c r="E10" s="60" t="s">
        <v>199</v>
      </c>
    </row>
    <row r="11" ht="11.25" thickBot="1">
      <c r="E11" s="60"/>
    </row>
    <row r="12" spans="1:12" s="141" customFormat="1" ht="10.5" customHeight="1" thickBot="1" thickTop="1">
      <c r="A12" s="139" t="s">
        <v>190</v>
      </c>
      <c r="B12" s="139" t="s">
        <v>5</v>
      </c>
      <c r="C12" s="139" t="s">
        <v>197</v>
      </c>
      <c r="D12" s="140" t="s">
        <v>59</v>
      </c>
      <c r="E12" s="139" t="s">
        <v>193</v>
      </c>
      <c r="F12" s="139" t="s">
        <v>192</v>
      </c>
      <c r="G12" s="139" t="s">
        <v>191</v>
      </c>
      <c r="H12" s="139" t="s">
        <v>194</v>
      </c>
      <c r="I12" s="139" t="s">
        <v>195</v>
      </c>
      <c r="J12" s="139" t="s">
        <v>198</v>
      </c>
      <c r="L12" s="142" t="s">
        <v>196</v>
      </c>
    </row>
    <row r="13" spans="1:12" s="141" customFormat="1" ht="13.5" customHeight="1" thickTop="1">
      <c r="A13" s="143"/>
      <c r="B13" s="143"/>
      <c r="C13" s="143"/>
      <c r="D13" s="144" t="s">
        <v>60</v>
      </c>
      <c r="E13" s="143"/>
      <c r="F13" s="143"/>
      <c r="G13" s="143"/>
      <c r="H13" s="143"/>
      <c r="I13" s="143"/>
      <c r="J13" s="143"/>
      <c r="L13" s="145" t="s">
        <v>134</v>
      </c>
    </row>
    <row r="14" spans="1:12" s="141" customFormat="1" ht="12.75" customHeight="1">
      <c r="A14" s="143"/>
      <c r="B14" s="143"/>
      <c r="C14" s="143"/>
      <c r="D14" s="146"/>
      <c r="E14" s="143"/>
      <c r="F14" s="143"/>
      <c r="G14" s="143"/>
      <c r="H14" s="143"/>
      <c r="I14" s="143"/>
      <c r="J14" s="143"/>
      <c r="L14" s="145" t="s">
        <v>135</v>
      </c>
    </row>
    <row r="15" spans="1:12" s="141" customFormat="1" ht="13.5" customHeight="1" thickBot="1">
      <c r="A15" s="147"/>
      <c r="B15" s="147"/>
      <c r="C15" s="147"/>
      <c r="D15" s="148"/>
      <c r="E15" s="147"/>
      <c r="F15" s="147"/>
      <c r="G15" s="147"/>
      <c r="H15" s="147"/>
      <c r="I15" s="147"/>
      <c r="J15" s="147"/>
      <c r="L15" s="149">
        <f>Plan1!F39</f>
        <v>0.007083263481766355</v>
      </c>
    </row>
    <row r="16" spans="1:12" ht="11.25" thickTop="1">
      <c r="A16" s="90">
        <v>0</v>
      </c>
      <c r="B16" s="91">
        <v>32535</v>
      </c>
      <c r="C16" s="103">
        <v>15432</v>
      </c>
      <c r="D16" s="93">
        <v>0</v>
      </c>
      <c r="E16" s="92"/>
      <c r="F16" s="92"/>
      <c r="G16" s="92"/>
      <c r="H16" s="94">
        <v>1</v>
      </c>
      <c r="I16" s="94">
        <f>Plan3!K16</f>
        <v>1</v>
      </c>
      <c r="J16" s="92">
        <f>(C16*H16)-G16</f>
        <v>15432</v>
      </c>
      <c r="L16" s="92">
        <v>0</v>
      </c>
    </row>
    <row r="17" spans="1:12" ht="10.5">
      <c r="A17" s="90">
        <f>A16+1</f>
        <v>1</v>
      </c>
      <c r="B17" s="91">
        <v>32566</v>
      </c>
      <c r="C17" s="92">
        <f>J16</f>
        <v>15432</v>
      </c>
      <c r="D17" s="93">
        <v>65.28</v>
      </c>
      <c r="E17" s="92">
        <f>J16*0.00708326</f>
        <v>109.30886832</v>
      </c>
      <c r="F17" s="92">
        <f>G17-D17-E17</f>
        <v>5.48113167999999</v>
      </c>
      <c r="G17" s="92">
        <f>180.07*H17</f>
        <v>180.07</v>
      </c>
      <c r="H17" s="94">
        <v>1</v>
      </c>
      <c r="I17" s="94">
        <f>Plan3!K17</f>
        <v>1.170303</v>
      </c>
      <c r="J17" s="92">
        <f>(C17*I17)-G17-E17</f>
        <v>17770.737027680003</v>
      </c>
      <c r="L17" s="92">
        <f>(J16*0.007083263)+L16</f>
        <v>109.30891461600001</v>
      </c>
    </row>
    <row r="18" spans="1:12" ht="10.5">
      <c r="A18" s="90">
        <f aca="true" t="shared" si="0" ref="A18:A28">A17+1</f>
        <v>2</v>
      </c>
      <c r="B18" s="91">
        <f>B17+28</f>
        <v>32594</v>
      </c>
      <c r="C18" s="92">
        <f aca="true" t="shared" si="1" ref="C18:C28">J17</f>
        <v>17770.737027680003</v>
      </c>
      <c r="D18" s="93">
        <v>32.04</v>
      </c>
      <c r="E18" s="92">
        <f aca="true" t="shared" si="2" ref="E18:E28">J17*0.00708326</f>
        <v>125.87475075868466</v>
      </c>
      <c r="F18" s="92">
        <f aca="true" t="shared" si="3" ref="F18:F28">G18-D18-E18</f>
        <v>22.155249241315346</v>
      </c>
      <c r="G18" s="92">
        <f>G17*H18</f>
        <v>180.07</v>
      </c>
      <c r="H18" s="94">
        <v>1</v>
      </c>
      <c r="I18" s="94">
        <f>Plan3!K18</f>
        <v>1.204139</v>
      </c>
      <c r="J18" s="92">
        <f aca="true" t="shared" si="4" ref="J18:J28">(C18*I18)-G18-E18</f>
        <v>21092.49276301489</v>
      </c>
      <c r="L18" s="92">
        <f aca="true" t="shared" si="5" ref="L18:L58">(J17*0.007083263)+L17</f>
        <v>235.18371868689576</v>
      </c>
    </row>
    <row r="19" spans="1:12" ht="10.5">
      <c r="A19" s="90">
        <f t="shared" si="0"/>
        <v>3</v>
      </c>
      <c r="B19" s="91">
        <f>B18+31</f>
        <v>32625</v>
      </c>
      <c r="C19" s="92">
        <f t="shared" si="1"/>
        <v>21092.49276301489</v>
      </c>
      <c r="D19" s="93">
        <v>32.04</v>
      </c>
      <c r="E19" s="92">
        <f t="shared" si="2"/>
        <v>149.40361028855284</v>
      </c>
      <c r="F19" s="92">
        <f t="shared" si="3"/>
        <v>-1.3736102885528396</v>
      </c>
      <c r="G19" s="92">
        <f aca="true" t="shared" si="6" ref="G19:G28">G18*H19</f>
        <v>180.07</v>
      </c>
      <c r="H19" s="94">
        <v>1</v>
      </c>
      <c r="I19" s="94">
        <f>Plan3!K19</f>
        <v>1.115182</v>
      </c>
      <c r="J19" s="92">
        <f t="shared" si="4"/>
        <v>23192.494654155915</v>
      </c>
      <c r="L19" s="92">
        <f t="shared" si="5"/>
        <v>384.58739225292686</v>
      </c>
    </row>
    <row r="20" spans="1:12" ht="10.5">
      <c r="A20" s="90">
        <f t="shared" si="0"/>
        <v>4</v>
      </c>
      <c r="B20" s="91">
        <f>B19+30</f>
        <v>32655</v>
      </c>
      <c r="C20" s="92">
        <f t="shared" si="1"/>
        <v>23192.494654155915</v>
      </c>
      <c r="D20" s="93">
        <v>32.04</v>
      </c>
      <c r="E20" s="92">
        <f t="shared" si="2"/>
        <v>164.27846968399643</v>
      </c>
      <c r="F20" s="92">
        <f t="shared" si="3"/>
        <v>-16.248469683996433</v>
      </c>
      <c r="G20" s="92">
        <f t="shared" si="6"/>
        <v>180.07</v>
      </c>
      <c r="H20" s="94">
        <v>1</v>
      </c>
      <c r="I20" s="94">
        <f>Plan3!K20</f>
        <v>1.109634</v>
      </c>
      <c r="J20" s="92">
        <f t="shared" si="4"/>
        <v>25390.83214338565</v>
      </c>
      <c r="L20" s="92">
        <f t="shared" si="5"/>
        <v>548.8659315144073</v>
      </c>
    </row>
    <row r="21" spans="1:12" ht="15" customHeight="1">
      <c r="A21" s="90">
        <f t="shared" si="0"/>
        <v>5</v>
      </c>
      <c r="B21" s="91">
        <f>B20+31</f>
        <v>32686</v>
      </c>
      <c r="C21" s="92">
        <f t="shared" si="1"/>
        <v>25390.83214338565</v>
      </c>
      <c r="D21" s="93">
        <v>35.53</v>
      </c>
      <c r="E21" s="92">
        <f t="shared" si="2"/>
        <v>179.84986568795784</v>
      </c>
      <c r="F21" s="92">
        <f t="shared" si="3"/>
        <v>-19.342858190466842</v>
      </c>
      <c r="G21" s="92">
        <f t="shared" si="6"/>
        <v>196.037007497491</v>
      </c>
      <c r="H21" s="94">
        <f>184.41/169.39</f>
        <v>1.0886711139972844</v>
      </c>
      <c r="I21" s="94">
        <f>Plan3!K21</f>
        <v>1.0994</v>
      </c>
      <c r="J21" s="92">
        <f t="shared" si="4"/>
        <v>27538.793985252734</v>
      </c>
      <c r="L21" s="92">
        <f t="shared" si="5"/>
        <v>728.7158733748615</v>
      </c>
    </row>
    <row r="22" spans="1:12" ht="10.5">
      <c r="A22" s="90">
        <f t="shared" si="0"/>
        <v>6</v>
      </c>
      <c r="B22" s="91">
        <f>B21+30</f>
        <v>32716</v>
      </c>
      <c r="C22" s="92">
        <f t="shared" si="1"/>
        <v>27538.793985252734</v>
      </c>
      <c r="D22" s="93">
        <v>35.53</v>
      </c>
      <c r="E22" s="92">
        <f t="shared" si="2"/>
        <v>195.0644378839813</v>
      </c>
      <c r="F22" s="92">
        <f t="shared" si="3"/>
        <v>-34.557430386490296</v>
      </c>
      <c r="G22" s="92">
        <f t="shared" si="6"/>
        <v>196.037007497491</v>
      </c>
      <c r="H22" s="94">
        <v>1</v>
      </c>
      <c r="I22" s="94">
        <f>Plan3!K22</f>
        <v>1.2483</v>
      </c>
      <c r="J22" s="92">
        <f t="shared" si="4"/>
        <v>33985.57508640952</v>
      </c>
      <c r="L22" s="92">
        <f t="shared" si="5"/>
        <v>923.7803938752247</v>
      </c>
    </row>
    <row r="23" spans="1:12" ht="10.5">
      <c r="A23" s="90">
        <f t="shared" si="0"/>
        <v>7</v>
      </c>
      <c r="B23" s="91">
        <f>B22+31</f>
        <v>32747</v>
      </c>
      <c r="C23" s="92">
        <f t="shared" si="1"/>
        <v>33985.57508640952</v>
      </c>
      <c r="D23" s="93">
        <v>39.04</v>
      </c>
      <c r="E23" s="92">
        <f t="shared" si="2"/>
        <v>240.72866458656108</v>
      </c>
      <c r="F23" s="92">
        <f t="shared" si="3"/>
        <v>-64.3097378494455</v>
      </c>
      <c r="G23" s="92">
        <f t="shared" si="6"/>
        <v>215.45892673711558</v>
      </c>
      <c r="H23" s="94">
        <f>202.68/184.41</f>
        <v>1.0990727183992193</v>
      </c>
      <c r="I23" s="94">
        <f>Plan3!K23</f>
        <v>1.2876</v>
      </c>
      <c r="J23" s="92">
        <f t="shared" si="4"/>
        <v>43303.638889937225</v>
      </c>
      <c r="L23" s="92">
        <f t="shared" si="5"/>
        <v>1164.509160418511</v>
      </c>
    </row>
    <row r="24" spans="1:12" ht="10.5">
      <c r="A24" s="90">
        <f t="shared" si="0"/>
        <v>8</v>
      </c>
      <c r="B24" s="91">
        <f>B23+31</f>
        <v>32778</v>
      </c>
      <c r="C24" s="92">
        <f t="shared" si="1"/>
        <v>43303.638889937225</v>
      </c>
      <c r="D24" s="93">
        <v>39.04</v>
      </c>
      <c r="E24" s="92">
        <f t="shared" si="2"/>
        <v>306.7309332035368</v>
      </c>
      <c r="F24" s="92">
        <f t="shared" si="3"/>
        <v>-130.3120064664212</v>
      </c>
      <c r="G24" s="92">
        <f t="shared" si="6"/>
        <v>215.45892673711558</v>
      </c>
      <c r="H24" s="94">
        <v>1</v>
      </c>
      <c r="I24" s="94">
        <f>Plan3!K24</f>
        <v>1.2934</v>
      </c>
      <c r="J24" s="92">
        <f t="shared" si="4"/>
        <v>55486.736680304166</v>
      </c>
      <c r="L24" s="92">
        <f t="shared" si="5"/>
        <v>1471.2402235329646</v>
      </c>
    </row>
    <row r="25" spans="1:12" ht="10.5">
      <c r="A25" s="90">
        <f t="shared" si="0"/>
        <v>9</v>
      </c>
      <c r="B25" s="91">
        <f>B24+30</f>
        <v>32808</v>
      </c>
      <c r="C25" s="92">
        <f t="shared" si="1"/>
        <v>55486.736680304166</v>
      </c>
      <c r="D25" s="93">
        <v>74.01</v>
      </c>
      <c r="E25" s="92">
        <f t="shared" si="2"/>
        <v>393.0269824581313</v>
      </c>
      <c r="F25" s="92">
        <f t="shared" si="3"/>
        <v>-58.48569607758924</v>
      </c>
      <c r="G25" s="92">
        <f t="shared" si="6"/>
        <v>408.551286380542</v>
      </c>
      <c r="H25" s="94">
        <f>384.32/202.68</f>
        <v>1.8961910400631536</v>
      </c>
      <c r="I25" s="94">
        <f>Plan3!K25</f>
        <v>1.3595</v>
      </c>
      <c r="J25" s="92">
        <f t="shared" si="4"/>
        <v>74632.64024803483</v>
      </c>
      <c r="L25" s="92">
        <f t="shared" si="5"/>
        <v>1864.267372451306</v>
      </c>
    </row>
    <row r="26" spans="1:12" ht="10.5">
      <c r="A26" s="90">
        <f t="shared" si="0"/>
        <v>10</v>
      </c>
      <c r="B26" s="91">
        <f>B25+31</f>
        <v>32839</v>
      </c>
      <c r="C26" s="92">
        <f t="shared" si="1"/>
        <v>74632.64024803483</v>
      </c>
      <c r="D26" s="93">
        <v>91.16</v>
      </c>
      <c r="E26" s="92">
        <f t="shared" si="2"/>
        <v>528.6423953632952</v>
      </c>
      <c r="F26" s="92">
        <f t="shared" si="3"/>
        <v>-116.55463575528995</v>
      </c>
      <c r="G26" s="92">
        <f t="shared" si="6"/>
        <v>503.2477596080053</v>
      </c>
      <c r="H26" s="94">
        <f>473.4/384.32</f>
        <v>1.2317860116569526</v>
      </c>
      <c r="I26" s="94">
        <f>Plan3!K26</f>
        <v>1.3762</v>
      </c>
      <c r="J26" s="92">
        <f t="shared" si="4"/>
        <v>101677.54935437425</v>
      </c>
      <c r="L26" s="92">
        <f t="shared" si="5"/>
        <v>2392.9099917125222</v>
      </c>
    </row>
    <row r="27" spans="1:12" ht="10.5">
      <c r="A27" s="90">
        <f t="shared" si="0"/>
        <v>11</v>
      </c>
      <c r="B27" s="91">
        <f>B26+30</f>
        <v>32869</v>
      </c>
      <c r="C27" s="92">
        <f t="shared" si="1"/>
        <v>101677.54935437425</v>
      </c>
      <c r="D27" s="93">
        <v>118.02</v>
      </c>
      <c r="E27" s="92">
        <f t="shared" si="2"/>
        <v>720.2085182398649</v>
      </c>
      <c r="F27" s="92">
        <f t="shared" si="3"/>
        <v>-186.64279417114756</v>
      </c>
      <c r="G27" s="92">
        <f t="shared" si="6"/>
        <v>651.5857240687174</v>
      </c>
      <c r="H27" s="94">
        <f>612.94/473.4</f>
        <v>1.2947613012251797</v>
      </c>
      <c r="I27" s="94">
        <f>Plan3!K27</f>
        <v>1.4142</v>
      </c>
      <c r="J27" s="92">
        <f t="shared" si="4"/>
        <v>142420.59605464747</v>
      </c>
      <c r="L27" s="92">
        <f t="shared" si="5"/>
        <v>3113.118814985035</v>
      </c>
    </row>
    <row r="28" spans="1:12" ht="10.5">
      <c r="A28" s="90">
        <f t="shared" si="0"/>
        <v>12</v>
      </c>
      <c r="B28" s="91">
        <f>B27+31</f>
        <v>32900</v>
      </c>
      <c r="C28" s="92">
        <f t="shared" si="1"/>
        <v>142420.59605464747</v>
      </c>
      <c r="D28" s="93">
        <v>296.77</v>
      </c>
      <c r="E28" s="92">
        <f t="shared" si="2"/>
        <v>1008.8021112100422</v>
      </c>
      <c r="F28" s="92">
        <f t="shared" si="3"/>
        <v>332.93838586770755</v>
      </c>
      <c r="G28" s="92">
        <f t="shared" si="6"/>
        <v>1638.5104970777497</v>
      </c>
      <c r="H28" s="94">
        <f>1541.33/612.94</f>
        <v>2.5146506999053737</v>
      </c>
      <c r="I28" s="94">
        <f>Plan3!K28</f>
        <v>1.5355</v>
      </c>
      <c r="J28" s="92">
        <f t="shared" si="4"/>
        <v>216039.5126336234</v>
      </c>
      <c r="L28" s="92">
        <f t="shared" si="5"/>
        <v>4121.921353456865</v>
      </c>
    </row>
    <row r="29" spans="1:12" ht="10.5">
      <c r="A29" s="90"/>
      <c r="B29" s="113" t="s">
        <v>41</v>
      </c>
      <c r="C29" s="103"/>
      <c r="D29" s="114"/>
      <c r="E29" s="92"/>
      <c r="F29" s="92"/>
      <c r="G29" s="92"/>
      <c r="H29" s="92"/>
      <c r="J29" s="103">
        <f>J28+L28</f>
        <v>220161.43398708027</v>
      </c>
      <c r="L29" s="92"/>
    </row>
    <row r="30" spans="1:12" ht="10.5">
      <c r="A30" s="90">
        <f>A28+1</f>
        <v>13</v>
      </c>
      <c r="B30" s="91">
        <f>B27+62</f>
        <v>32931</v>
      </c>
      <c r="C30" s="92">
        <f>J29</f>
        <v>220161.43398708027</v>
      </c>
      <c r="D30" s="93">
        <v>399.7</v>
      </c>
      <c r="E30" s="92">
        <f aca="true" t="shared" si="7" ref="E30:E41">J29*0.00708326</f>
        <v>1559.4606789033262</v>
      </c>
      <c r="F30" s="92">
        <f aca="true" t="shared" si="8" ref="F30:F41">G30-D30-E30</f>
        <v>247.67748450655654</v>
      </c>
      <c r="G30" s="92">
        <f>G28*H30</f>
        <v>2206.838163409883</v>
      </c>
      <c r="H30" s="94">
        <f>2075.95/1541.33</f>
        <v>1.3468562864539066</v>
      </c>
      <c r="I30" s="94">
        <f>Plan3!K29</f>
        <v>1.5611</v>
      </c>
      <c r="J30" s="92">
        <f aca="true" t="shared" si="9" ref="J30:J41">(C30*I30)-G30-E30</f>
        <v>339927.71575491776</v>
      </c>
      <c r="L30" s="92">
        <f t="shared" si="5"/>
        <v>1559.4613393876282</v>
      </c>
    </row>
    <row r="31" spans="1:12" ht="10.5">
      <c r="A31" s="90">
        <f aca="true" t="shared" si="10" ref="A31:A41">A30+1</f>
        <v>14</v>
      </c>
      <c r="B31" s="91">
        <f>B30+28</f>
        <v>32959</v>
      </c>
      <c r="C31" s="92">
        <f aca="true" t="shared" si="11" ref="C31:C41">J30</f>
        <v>339927.71575491776</v>
      </c>
      <c r="D31" s="93">
        <v>584.51</v>
      </c>
      <c r="E31" s="92">
        <f t="shared" si="7"/>
        <v>2407.7963918981786</v>
      </c>
      <c r="F31" s="92">
        <f t="shared" si="8"/>
        <v>234.9213511799262</v>
      </c>
      <c r="G31" s="92">
        <f aca="true" t="shared" si="12" ref="G31:G58">G30*H31</f>
        <v>3227.2277430781046</v>
      </c>
      <c r="H31" s="94">
        <f>3035.82/2075.95</f>
        <v>1.4623762614706521</v>
      </c>
      <c r="I31" s="94">
        <f>Plan3!K30</f>
        <v>1.7278</v>
      </c>
      <c r="J31" s="92">
        <f t="shared" si="9"/>
        <v>581692.0831463706</v>
      </c>
      <c r="L31" s="92">
        <f t="shared" si="5"/>
        <v>3967.2587510689546</v>
      </c>
    </row>
    <row r="32" spans="1:12" ht="10.5">
      <c r="A32" s="90">
        <f t="shared" si="10"/>
        <v>15</v>
      </c>
      <c r="B32" s="91">
        <f>B31+31</f>
        <v>32990</v>
      </c>
      <c r="C32" s="92">
        <f t="shared" si="11"/>
        <v>581692.0831463706</v>
      </c>
      <c r="D32" s="93">
        <v>1005.99</v>
      </c>
      <c r="E32" s="92">
        <f t="shared" si="7"/>
        <v>4120.276264867361</v>
      </c>
      <c r="F32" s="92">
        <f t="shared" si="8"/>
        <v>428.14750572122284</v>
      </c>
      <c r="G32" s="92">
        <f t="shared" si="12"/>
        <v>5554.413770588583</v>
      </c>
      <c r="H32" s="94">
        <f>5224.98/3035.82</f>
        <v>1.7211099472300726</v>
      </c>
      <c r="I32" s="94">
        <f>Plan3!K31</f>
        <v>1.8432</v>
      </c>
      <c r="J32" s="92">
        <f t="shared" si="9"/>
        <v>1062500.1576199343</v>
      </c>
      <c r="L32" s="92">
        <f t="shared" si="5"/>
        <v>8087.536761012565</v>
      </c>
    </row>
    <row r="33" spans="1:12" ht="10.5">
      <c r="A33" s="90">
        <f t="shared" si="10"/>
        <v>16</v>
      </c>
      <c r="B33" s="91">
        <f>B32+30</f>
        <v>33020</v>
      </c>
      <c r="C33" s="92">
        <f t="shared" si="11"/>
        <v>1062500.1576199343</v>
      </c>
      <c r="D33" s="93">
        <v>1738.14</v>
      </c>
      <c r="E33" s="92">
        <f t="shared" si="7"/>
        <v>7525.964866462976</v>
      </c>
      <c r="F33" s="92">
        <f t="shared" si="8"/>
        <v>332.8107743658802</v>
      </c>
      <c r="G33" s="92">
        <f t="shared" si="12"/>
        <v>9596.915640828856</v>
      </c>
      <c r="H33" s="94">
        <f>9027.72/5224.98</f>
        <v>1.727799915023598</v>
      </c>
      <c r="I33" s="94">
        <f>Plan3!K32</f>
        <v>1</v>
      </c>
      <c r="J33" s="92">
        <f t="shared" si="9"/>
        <v>1045377.2771126424</v>
      </c>
      <c r="L33" s="92">
        <f t="shared" si="5"/>
        <v>15613.504814976015</v>
      </c>
    </row>
    <row r="34" spans="1:12" ht="10.5">
      <c r="A34" s="90">
        <f t="shared" si="10"/>
        <v>17</v>
      </c>
      <c r="B34" s="91">
        <f>B33+31</f>
        <v>33051</v>
      </c>
      <c r="C34" s="92">
        <f t="shared" si="11"/>
        <v>1045377.2771126424</v>
      </c>
      <c r="D34" s="93">
        <v>1738.14</v>
      </c>
      <c r="E34" s="92">
        <f t="shared" si="7"/>
        <v>7404.679051880896</v>
      </c>
      <c r="F34" s="92">
        <f t="shared" si="8"/>
        <v>454.0965889479603</v>
      </c>
      <c r="G34" s="92">
        <f t="shared" si="12"/>
        <v>9596.915640828856</v>
      </c>
      <c r="H34" s="94">
        <v>1</v>
      </c>
      <c r="I34" s="94">
        <f>Plan3!K33</f>
        <v>1.0538</v>
      </c>
      <c r="J34" s="92">
        <f t="shared" si="9"/>
        <v>1084616.9799285927</v>
      </c>
      <c r="L34" s="92">
        <f t="shared" si="5"/>
        <v>23018.187002988743</v>
      </c>
    </row>
    <row r="35" spans="1:12" ht="10.5">
      <c r="A35" s="90">
        <f t="shared" si="10"/>
        <v>18</v>
      </c>
      <c r="B35" s="91">
        <f>B34+30</f>
        <v>33081</v>
      </c>
      <c r="C35" s="92">
        <f t="shared" si="11"/>
        <v>1084616.9799285927</v>
      </c>
      <c r="D35" s="93">
        <v>1738.14</v>
      </c>
      <c r="E35" s="92">
        <f t="shared" si="7"/>
        <v>7682.624069249004</v>
      </c>
      <c r="F35" s="92">
        <f t="shared" si="8"/>
        <v>176.15157157985232</v>
      </c>
      <c r="G35" s="92">
        <f t="shared" si="12"/>
        <v>9596.915640828856</v>
      </c>
      <c r="H35" s="94">
        <v>1</v>
      </c>
      <c r="I35" s="94">
        <f>Plan3!K34</f>
        <v>1.0961</v>
      </c>
      <c r="J35" s="92">
        <f t="shared" si="9"/>
        <v>1171569.1319896525</v>
      </c>
      <c r="L35" s="92">
        <f t="shared" si="5"/>
        <v>30700.814326088686</v>
      </c>
    </row>
    <row r="36" spans="1:12" ht="10.5">
      <c r="A36" s="90">
        <f t="shared" si="10"/>
        <v>19</v>
      </c>
      <c r="B36" s="91">
        <f>B35+31</f>
        <v>33112</v>
      </c>
      <c r="C36" s="92">
        <f t="shared" si="11"/>
        <v>1171569.1319896525</v>
      </c>
      <c r="D36" s="93">
        <v>1831.65</v>
      </c>
      <c r="E36" s="92">
        <f t="shared" si="7"/>
        <v>8298.528769857026</v>
      </c>
      <c r="F36" s="92">
        <f t="shared" si="8"/>
        <v>-16.96089492781357</v>
      </c>
      <c r="G36" s="92">
        <f t="shared" si="12"/>
        <v>10113.217874929212</v>
      </c>
      <c r="H36" s="94">
        <f>11345.05/10765.86</f>
        <v>1.0537987675856828</v>
      </c>
      <c r="I36" s="94">
        <f>Plan3!K35</f>
        <v>1.1079</v>
      </c>
      <c r="J36" s="92">
        <f t="shared" si="9"/>
        <v>1279569.6946865497</v>
      </c>
      <c r="L36" s="92">
        <f t="shared" si="5"/>
        <v>38999.34661065311</v>
      </c>
    </row>
    <row r="37" spans="1:12" ht="10.5">
      <c r="A37" s="90">
        <f t="shared" si="10"/>
        <v>20</v>
      </c>
      <c r="B37" s="91">
        <f>B36+31</f>
        <v>33143</v>
      </c>
      <c r="C37" s="92">
        <f t="shared" si="11"/>
        <v>1279569.6946865497</v>
      </c>
      <c r="D37" s="93">
        <v>2007.66</v>
      </c>
      <c r="E37" s="92">
        <f t="shared" si="7"/>
        <v>9063.524835585451</v>
      </c>
      <c r="F37" s="92">
        <f t="shared" si="8"/>
        <v>13.915679616984562</v>
      </c>
      <c r="G37" s="92">
        <f t="shared" si="12"/>
        <v>11085.100515202435</v>
      </c>
      <c r="H37" s="94">
        <f>Plan3!H36</f>
        <v>1.0961002375596527</v>
      </c>
      <c r="I37" s="94">
        <f>Plan3!K36</f>
        <v>1.1058</v>
      </c>
      <c r="J37" s="92">
        <f t="shared" si="9"/>
        <v>1394799.5430335987</v>
      </c>
      <c r="L37" s="92">
        <f t="shared" si="5"/>
        <v>48062.875284947644</v>
      </c>
    </row>
    <row r="38" spans="1:12" ht="10.5">
      <c r="A38" s="90">
        <f t="shared" si="10"/>
        <v>21</v>
      </c>
      <c r="B38" s="91">
        <f>B37+30</f>
        <v>33173</v>
      </c>
      <c r="C38" s="92">
        <f t="shared" si="11"/>
        <v>1394799.5430335987</v>
      </c>
      <c r="D38" s="93">
        <v>2224.27</v>
      </c>
      <c r="E38" s="92">
        <f t="shared" si="7"/>
        <v>9879.727811188168</v>
      </c>
      <c r="F38" s="92">
        <f t="shared" si="8"/>
        <v>177.182545059306</v>
      </c>
      <c r="G38" s="92">
        <f t="shared" si="12"/>
        <v>12281.180356247474</v>
      </c>
      <c r="H38" s="94">
        <f>11552.78/10427.64</f>
        <v>1.1078997740620122</v>
      </c>
      <c r="I38" s="94">
        <f>Plan3!K37</f>
        <v>1.1285</v>
      </c>
      <c r="J38" s="92">
        <f t="shared" si="9"/>
        <v>1551870.3761459803</v>
      </c>
      <c r="L38" s="92">
        <f t="shared" si="5"/>
        <v>57942.607280534445</v>
      </c>
    </row>
    <row r="39" spans="1:12" ht="10.5">
      <c r="A39" s="90">
        <f t="shared" si="10"/>
        <v>22</v>
      </c>
      <c r="B39" s="91">
        <f>B38+31</f>
        <v>33204</v>
      </c>
      <c r="C39" s="92">
        <f t="shared" si="11"/>
        <v>1551870.3761459803</v>
      </c>
      <c r="D39" s="93">
        <v>2459.59</v>
      </c>
      <c r="E39" s="92">
        <f t="shared" si="7"/>
        <v>10992.301360539777</v>
      </c>
      <c r="F39" s="92">
        <f t="shared" si="8"/>
        <v>128.63349338134503</v>
      </c>
      <c r="G39" s="92">
        <f t="shared" si="12"/>
        <v>13580.524853921122</v>
      </c>
      <c r="H39" s="94">
        <f>12775.06/11552.78</f>
        <v>1.105799643029643</v>
      </c>
      <c r="I39" s="94">
        <f>Plan3!K38</f>
        <v>1.1371</v>
      </c>
      <c r="J39" s="92">
        <f t="shared" si="9"/>
        <v>1740058.9785011334</v>
      </c>
      <c r="L39" s="92">
        <f t="shared" si="5"/>
        <v>68934.91329668535</v>
      </c>
    </row>
    <row r="40" spans="1:12" ht="10.5">
      <c r="A40" s="90">
        <f t="shared" si="10"/>
        <v>23</v>
      </c>
      <c r="B40" s="91">
        <f>B39+30</f>
        <v>33234</v>
      </c>
      <c r="C40" s="92">
        <f t="shared" si="11"/>
        <v>1740058.9785011334</v>
      </c>
      <c r="D40" s="93">
        <v>2775.64</v>
      </c>
      <c r="E40" s="92">
        <f t="shared" si="7"/>
        <v>12325.290160057939</v>
      </c>
      <c r="F40" s="92">
        <f t="shared" si="8"/>
        <v>224.68659910264068</v>
      </c>
      <c r="G40" s="92">
        <f t="shared" si="12"/>
        <v>15325.616759160579</v>
      </c>
      <c r="H40" s="94">
        <f>14416.65/12775.06</f>
        <v>1.1284995921741268</v>
      </c>
      <c r="I40" s="94">
        <f>Plan3!K39</f>
        <v>1.1664</v>
      </c>
      <c r="J40" s="92">
        <f t="shared" si="9"/>
        <v>2001953.8856045038</v>
      </c>
      <c r="L40" s="92">
        <f t="shared" si="5"/>
        <v>81260.20867692023</v>
      </c>
    </row>
    <row r="41" spans="1:12" ht="10.5">
      <c r="A41" s="90">
        <f t="shared" si="10"/>
        <v>24</v>
      </c>
      <c r="B41" s="91">
        <f>B40+31</f>
        <v>33265</v>
      </c>
      <c r="C41" s="92">
        <f t="shared" si="11"/>
        <v>2001953.8856045038</v>
      </c>
      <c r="D41" s="93">
        <v>4592.82</v>
      </c>
      <c r="E41" s="92">
        <f t="shared" si="7"/>
        <v>14180.359879746959</v>
      </c>
      <c r="F41" s="92">
        <f t="shared" si="8"/>
        <v>6585.957911564919</v>
      </c>
      <c r="G41" s="92">
        <f t="shared" si="12"/>
        <v>25359.137791311878</v>
      </c>
      <c r="H41" s="94">
        <f>23855.08/14416.65</f>
        <v>1.6546895429936914</v>
      </c>
      <c r="I41" s="94">
        <f>Plan3!K40</f>
        <v>1.1939</v>
      </c>
      <c r="J41" s="92">
        <f t="shared" si="9"/>
        <v>2350593.246352158</v>
      </c>
      <c r="L41" s="92">
        <f t="shared" si="5"/>
        <v>95440.57456252884</v>
      </c>
    </row>
    <row r="42" spans="1:12" ht="10.5">
      <c r="A42" s="90"/>
      <c r="B42" s="113" t="s">
        <v>41</v>
      </c>
      <c r="C42" s="103"/>
      <c r="D42" s="114"/>
      <c r="E42" s="92"/>
      <c r="F42" s="92"/>
      <c r="G42" s="92"/>
      <c r="H42" s="103"/>
      <c r="J42" s="103">
        <f>J41+L41</f>
        <v>2446033.8209146867</v>
      </c>
      <c r="L42" s="92"/>
    </row>
    <row r="43" spans="1:12" ht="10.5">
      <c r="A43" s="90">
        <f>A41+1</f>
        <v>25</v>
      </c>
      <c r="B43" s="91">
        <f>B41+31</f>
        <v>33296</v>
      </c>
      <c r="C43" s="92">
        <f>J42</f>
        <v>2446033.8209146867</v>
      </c>
      <c r="D43" s="93">
        <v>5357.06</v>
      </c>
      <c r="E43" s="92">
        <f aca="true" t="shared" si="13" ref="E43:E54">J42*0.00708326</f>
        <v>17325.893522332164</v>
      </c>
      <c r="F43" s="92">
        <f aca="true" t="shared" si="14" ref="F43:F54">G43-D43-E43</f>
        <v>6895.939150533526</v>
      </c>
      <c r="G43" s="92">
        <f>G41*H43</f>
        <v>29578.89267286569</v>
      </c>
      <c r="H43" s="94">
        <f>27824.56/23855.08</f>
        <v>1.1663997773220631</v>
      </c>
      <c r="I43" s="94">
        <f>Plan3!K41</f>
        <v>1.117385</v>
      </c>
      <c r="J43" s="92">
        <f aca="true" t="shared" si="15" ref="J43:J54">(C43*I43)-G43-E43</f>
        <v>2686256.7147875596</v>
      </c>
      <c r="L43" s="92">
        <f t="shared" si="5"/>
        <v>17325.900860433627</v>
      </c>
    </row>
    <row r="44" spans="1:12" ht="10.5">
      <c r="A44" s="90">
        <f aca="true" t="shared" si="16" ref="A44:A54">A43+1</f>
        <v>26</v>
      </c>
      <c r="B44" s="91">
        <f>B43+28</f>
        <v>33324</v>
      </c>
      <c r="C44" s="92">
        <f aca="true" t="shared" si="17" ref="C44:C54">J43</f>
        <v>2686256.7147875596</v>
      </c>
      <c r="D44" s="93">
        <v>6395.78</v>
      </c>
      <c r="E44" s="92">
        <f t="shared" si="13"/>
        <v>19027.45473758613</v>
      </c>
      <c r="F44" s="92">
        <f t="shared" si="14"/>
        <v>9891.002902847475</v>
      </c>
      <c r="G44" s="92">
        <f t="shared" si="12"/>
        <v>35314.2376404336</v>
      </c>
      <c r="H44" s="94">
        <f>33219.74/27824.56</f>
        <v>1.1938999215081927</v>
      </c>
      <c r="I44" s="94">
        <f>Plan3!K42</f>
        <v>1.090667</v>
      </c>
      <c r="J44" s="92">
        <f t="shared" si="15"/>
        <v>2875469.859969184</v>
      </c>
      <c r="L44" s="92">
        <f t="shared" si="5"/>
        <v>36353.3636567899</v>
      </c>
    </row>
    <row r="45" spans="1:12" ht="10.5">
      <c r="A45" s="90">
        <f t="shared" si="16"/>
        <v>27</v>
      </c>
      <c r="B45" s="91">
        <f>B44+31</f>
        <v>33355</v>
      </c>
      <c r="C45" s="92">
        <f t="shared" si="17"/>
        <v>2875469.859969184</v>
      </c>
      <c r="D45" s="93">
        <v>7179.48</v>
      </c>
      <c r="E45" s="92">
        <f t="shared" si="13"/>
        <v>20367.70064032532</v>
      </c>
      <c r="F45" s="92">
        <f t="shared" si="14"/>
        <v>12094.318106953957</v>
      </c>
      <c r="G45" s="92">
        <f t="shared" si="12"/>
        <v>39641.49874727928</v>
      </c>
      <c r="H45" s="94">
        <f>37290.35/33219.74</f>
        <v>1.1225358777642451</v>
      </c>
      <c r="I45" s="94">
        <f>Plan3!K43</f>
        <v>1.085659</v>
      </c>
      <c r="J45" s="92">
        <f t="shared" si="15"/>
        <v>3061770.5333166793</v>
      </c>
      <c r="L45" s="92">
        <f t="shared" si="5"/>
        <v>56721.0729235248</v>
      </c>
    </row>
    <row r="46" spans="1:12" ht="10.5">
      <c r="A46" s="90">
        <f t="shared" si="16"/>
        <v>28</v>
      </c>
      <c r="B46" s="91">
        <f>B45+30</f>
        <v>33385</v>
      </c>
      <c r="C46" s="92">
        <f t="shared" si="17"/>
        <v>3061770.5333166793</v>
      </c>
      <c r="D46" s="93">
        <v>7179.48</v>
      </c>
      <c r="E46" s="92">
        <f t="shared" si="13"/>
        <v>21687.316747820703</v>
      </c>
      <c r="F46" s="92">
        <f t="shared" si="14"/>
        <v>10774.701999458575</v>
      </c>
      <c r="G46" s="92">
        <f t="shared" si="12"/>
        <v>39641.49874727928</v>
      </c>
      <c r="H46" s="94">
        <v>1</v>
      </c>
      <c r="I46" s="94">
        <f>Plan3!K44</f>
        <v>1.08512</v>
      </c>
      <c r="J46" s="92">
        <f t="shared" si="15"/>
        <v>3261059.625617495</v>
      </c>
      <c r="L46" s="92">
        <f t="shared" si="5"/>
        <v>78408.3988566571</v>
      </c>
    </row>
    <row r="47" spans="1:12" ht="10.5">
      <c r="A47" s="90">
        <f t="shared" si="16"/>
        <v>29</v>
      </c>
      <c r="B47" s="91">
        <f>B46+31</f>
        <v>33416</v>
      </c>
      <c r="C47" s="92">
        <f t="shared" si="17"/>
        <v>3261059.625617495</v>
      </c>
      <c r="D47" s="93">
        <v>7179.48</v>
      </c>
      <c r="E47" s="92">
        <f t="shared" si="13"/>
        <v>23098.933203751378</v>
      </c>
      <c r="F47" s="92"/>
      <c r="G47" s="92">
        <f t="shared" si="12"/>
        <v>39641.49874727928</v>
      </c>
      <c r="H47" s="94">
        <v>1</v>
      </c>
      <c r="I47" s="94">
        <f>Plan3!K45</f>
        <v>1.097203</v>
      </c>
      <c r="J47" s="92">
        <f t="shared" si="15"/>
        <v>3515303.9724553614</v>
      </c>
      <c r="L47" s="92">
        <f t="shared" si="5"/>
        <v>101507.34184358736</v>
      </c>
    </row>
    <row r="48" spans="1:12" ht="10.5">
      <c r="A48" s="90">
        <f t="shared" si="16"/>
        <v>30</v>
      </c>
      <c r="B48" s="91">
        <f>B47+30</f>
        <v>33446</v>
      </c>
      <c r="C48" s="92">
        <f t="shared" si="17"/>
        <v>3515303.9724553614</v>
      </c>
      <c r="D48" s="93">
        <v>7179.48</v>
      </c>
      <c r="E48" s="92">
        <f t="shared" si="13"/>
        <v>24899.812015934163</v>
      </c>
      <c r="F48" s="92"/>
      <c r="G48" s="92">
        <f t="shared" si="12"/>
        <v>39641.49874727928</v>
      </c>
      <c r="H48" s="94">
        <v>1</v>
      </c>
      <c r="I48" s="94">
        <f>Plan3!K46</f>
        <v>1.096913</v>
      </c>
      <c r="J48" s="92">
        <f t="shared" si="15"/>
        <v>3791441.315574714</v>
      </c>
      <c r="L48" s="92">
        <f t="shared" si="5"/>
        <v>126407.16440543345</v>
      </c>
    </row>
    <row r="49" spans="1:12" ht="10.5">
      <c r="A49" s="90">
        <f t="shared" si="16"/>
        <v>31</v>
      </c>
      <c r="B49" s="91">
        <f>B48+31</f>
        <v>33477</v>
      </c>
      <c r="C49" s="92">
        <f t="shared" si="17"/>
        <v>3791441.315574714</v>
      </c>
      <c r="D49" s="93">
        <v>7179.48</v>
      </c>
      <c r="E49" s="92">
        <f t="shared" si="13"/>
        <v>26855.764612957748</v>
      </c>
      <c r="F49" s="92"/>
      <c r="G49" s="92">
        <f t="shared" si="12"/>
        <v>39641.49874727928</v>
      </c>
      <c r="H49" s="94">
        <v>1</v>
      </c>
      <c r="I49" s="94">
        <f>Plan3!K47</f>
        <v>1.109158</v>
      </c>
      <c r="J49" s="92">
        <f t="shared" si="15"/>
        <v>4138810.2033399814</v>
      </c>
      <c r="L49" s="92">
        <f t="shared" si="5"/>
        <v>153262.94039271516</v>
      </c>
    </row>
    <row r="50" spans="1:12" ht="10.5">
      <c r="A50" s="90">
        <f t="shared" si="16"/>
        <v>32</v>
      </c>
      <c r="B50" s="91">
        <f>B49+31</f>
        <v>33508</v>
      </c>
      <c r="C50" s="92">
        <f t="shared" si="17"/>
        <v>4138810.2033399814</v>
      </c>
      <c r="D50" s="93">
        <v>7179.48</v>
      </c>
      <c r="E50" s="92">
        <f t="shared" si="13"/>
        <v>29316.268760909956</v>
      </c>
      <c r="F50" s="92"/>
      <c r="G50" s="92">
        <f t="shared" si="12"/>
        <v>39641.49874727928</v>
      </c>
      <c r="H50" s="94">
        <v>1</v>
      </c>
      <c r="I50" s="94">
        <f>Plan3!K48</f>
        <v>1.172194</v>
      </c>
      <c r="J50" s="92">
        <f t="shared" si="15"/>
        <v>4782530.719985717</v>
      </c>
      <c r="L50" s="92">
        <f t="shared" si="5"/>
        <v>182579.22157005573</v>
      </c>
    </row>
    <row r="51" spans="1:12" ht="10.5">
      <c r="A51" s="90">
        <f t="shared" si="16"/>
        <v>33</v>
      </c>
      <c r="B51" s="91">
        <f>B50+30</f>
        <v>33538</v>
      </c>
      <c r="C51" s="92">
        <f t="shared" si="17"/>
        <v>4782530.719985717</v>
      </c>
      <c r="D51" s="93">
        <v>7179.48</v>
      </c>
      <c r="E51" s="92">
        <f t="shared" si="13"/>
        <v>33875.90854764603</v>
      </c>
      <c r="F51" s="92">
        <f t="shared" si="14"/>
        <v>-1413.8898003667528</v>
      </c>
      <c r="G51" s="92">
        <f t="shared" si="12"/>
        <v>39641.49874727928</v>
      </c>
      <c r="H51" s="94">
        <v>1</v>
      </c>
      <c r="I51" s="94">
        <f>Plan3!K49</f>
        <v>1.186267</v>
      </c>
      <c r="J51" s="92">
        <f t="shared" si="15"/>
        <v>5599840.962310371</v>
      </c>
      <c r="L51" s="92">
        <f t="shared" si="5"/>
        <v>216455.1444652939</v>
      </c>
    </row>
    <row r="52" spans="1:12" ht="10.5">
      <c r="A52" s="90">
        <f t="shared" si="16"/>
        <v>34</v>
      </c>
      <c r="B52" s="91">
        <f>B51+31</f>
        <v>33569</v>
      </c>
      <c r="C52" s="92">
        <f t="shared" si="17"/>
        <v>5599840.962310371</v>
      </c>
      <c r="D52" s="93">
        <v>8328.19</v>
      </c>
      <c r="E52" s="92">
        <f t="shared" si="13"/>
        <v>39665.129494694556</v>
      </c>
      <c r="F52" s="92">
        <f t="shared" si="14"/>
        <v>-2009.187326149331</v>
      </c>
      <c r="G52" s="92">
        <f t="shared" si="12"/>
        <v>45984.13216854523</v>
      </c>
      <c r="H52" s="94">
        <f>43256.8/37290.35</f>
        <v>1.1599998391004644</v>
      </c>
      <c r="I52" s="94">
        <f>Plan3!K50</f>
        <v>1.276909</v>
      </c>
      <c r="J52" s="92">
        <f t="shared" si="15"/>
        <v>7064838.061679534</v>
      </c>
      <c r="L52" s="92">
        <f t="shared" si="5"/>
        <v>256120.29075951135</v>
      </c>
    </row>
    <row r="53" spans="1:12" ht="10.5">
      <c r="A53" s="90">
        <f t="shared" si="16"/>
        <v>35</v>
      </c>
      <c r="B53" s="91">
        <f>B52+30</f>
        <v>33599</v>
      </c>
      <c r="C53" s="92">
        <f t="shared" si="17"/>
        <v>7064838.061679534</v>
      </c>
      <c r="D53" s="93">
        <v>10077.1</v>
      </c>
      <c r="E53" s="92">
        <f t="shared" si="13"/>
        <v>50042.084848772174</v>
      </c>
      <c r="F53" s="92">
        <f t="shared" si="14"/>
        <v>-4478.393429230768</v>
      </c>
      <c r="G53" s="92">
        <f t="shared" si="12"/>
        <v>55640.791419541405</v>
      </c>
      <c r="H53" s="94">
        <f>52340.72/43256.8</f>
        <v>1.2099998150579794</v>
      </c>
      <c r="I53" s="94">
        <f>Plan3!K51</f>
        <v>1.293213</v>
      </c>
      <c r="J53" s="92">
        <f t="shared" si="15"/>
        <v>9030657.54799046</v>
      </c>
      <c r="L53" s="92">
        <f t="shared" si="5"/>
        <v>306162.3968027977</v>
      </c>
    </row>
    <row r="54" spans="1:12" ht="10.5">
      <c r="A54" s="90">
        <f t="shared" si="16"/>
        <v>36</v>
      </c>
      <c r="B54" s="91">
        <f>B53+31</f>
        <v>33630</v>
      </c>
      <c r="C54" s="92">
        <f t="shared" si="17"/>
        <v>9030657.54799046</v>
      </c>
      <c r="D54" s="93">
        <v>22718.9</v>
      </c>
      <c r="E54" s="92">
        <f t="shared" si="13"/>
        <v>63966.495383378904</v>
      </c>
      <c r="F54" s="92">
        <f t="shared" si="14"/>
        <v>38757.26506109728</v>
      </c>
      <c r="G54" s="92">
        <f t="shared" si="12"/>
        <v>125442.66044447619</v>
      </c>
      <c r="H54" s="94">
        <f>118002.62/52340.72</f>
        <v>2.254508917722186</v>
      </c>
      <c r="I54" s="94">
        <f>Plan3!K52</f>
        <v>1.250091</v>
      </c>
      <c r="J54" s="92">
        <f t="shared" si="15"/>
        <v>11099734.568997089</v>
      </c>
      <c r="L54" s="92">
        <f t="shared" si="5"/>
        <v>370128.91927814926</v>
      </c>
    </row>
    <row r="55" spans="1:12" ht="10.5">
      <c r="A55" s="90"/>
      <c r="B55" s="113" t="s">
        <v>41</v>
      </c>
      <c r="C55" s="103"/>
      <c r="D55" s="114"/>
      <c r="E55" s="92"/>
      <c r="F55" s="92"/>
      <c r="G55" s="92"/>
      <c r="H55" s="103"/>
      <c r="J55" s="103">
        <f>J54+L54</f>
        <v>11469863.488275237</v>
      </c>
      <c r="L55" s="92"/>
    </row>
    <row r="56" spans="1:12" ht="10.5">
      <c r="A56" s="90">
        <f>A54+1</f>
        <v>37</v>
      </c>
      <c r="B56" s="91">
        <f>B54+31</f>
        <v>33661</v>
      </c>
      <c r="C56" s="92">
        <f>J55</f>
        <v>11469863.488275237</v>
      </c>
      <c r="D56" s="93">
        <v>22718.9</v>
      </c>
      <c r="E56" s="92">
        <f>J55*0.00708326</f>
        <v>81244.02525196045</v>
      </c>
      <c r="F56" s="92">
        <f>G56-D56-E56</f>
        <v>21479.735192515727</v>
      </c>
      <c r="G56" s="92">
        <f>G54*H56</f>
        <v>125442.66044447619</v>
      </c>
      <c r="H56" s="94">
        <v>1</v>
      </c>
      <c r="I56" s="94">
        <f>Plan3!K53</f>
        <v>1.276717</v>
      </c>
      <c r="J56" s="92">
        <f>(C56*I56)-G56-E56</f>
        <v>14437083.017463861</v>
      </c>
      <c r="L56" s="92">
        <f t="shared" si="5"/>
        <v>81244.05966155093</v>
      </c>
    </row>
    <row r="57" spans="1:12" ht="10.5">
      <c r="A57" s="90">
        <f>A56+1</f>
        <v>38</v>
      </c>
      <c r="B57" s="91">
        <f>B56+31</f>
        <v>33692</v>
      </c>
      <c r="C57" s="92">
        <f>J56</f>
        <v>14437083.017463861</v>
      </c>
      <c r="D57" s="93">
        <v>29193.78</v>
      </c>
      <c r="E57" s="92">
        <f>J56*0.00708326</f>
        <v>102261.61265428107</v>
      </c>
      <c r="F57" s="92">
        <f>G57-D57-E57</f>
        <v>29738.418894437214</v>
      </c>
      <c r="G57" s="92">
        <f t="shared" si="12"/>
        <v>161193.81154871828</v>
      </c>
      <c r="H57" s="94">
        <f>151633.36/118002.62</f>
        <v>1.2849999432215995</v>
      </c>
      <c r="I57" s="94">
        <f>Plan3!K54</f>
        <v>1.231886</v>
      </c>
      <c r="J57" s="92">
        <f>(C57*I57)-G57-E57</f>
        <v>17521385.02584849</v>
      </c>
      <c r="L57" s="92">
        <f t="shared" si="5"/>
        <v>183505.71562708105</v>
      </c>
    </row>
    <row r="58" spans="1:12" ht="10.5">
      <c r="A58" s="90">
        <f>A57+1</f>
        <v>39</v>
      </c>
      <c r="B58" s="91">
        <f>B57+29</f>
        <v>33721</v>
      </c>
      <c r="C58" s="92">
        <f>J57</f>
        <v>17521385.02584849</v>
      </c>
      <c r="D58" s="93">
        <v>29193.78</v>
      </c>
      <c r="E58" s="92">
        <f>J57*0.00708326</f>
        <v>124108.52569819157</v>
      </c>
      <c r="F58" s="92">
        <f>G58-D58-E58</f>
        <v>7891.505850526708</v>
      </c>
      <c r="G58" s="92">
        <f t="shared" si="12"/>
        <v>161193.81154871828</v>
      </c>
      <c r="H58" s="94">
        <v>1</v>
      </c>
      <c r="I58" s="94">
        <f>Plan3!K55</f>
        <v>1.21521</v>
      </c>
      <c r="J58" s="92">
        <f>(C58*I58)-G58-E58</f>
        <v>21006859.960014433</v>
      </c>
      <c r="L58" s="92">
        <f t="shared" si="5"/>
        <v>307614.2938894277</v>
      </c>
    </row>
    <row r="59" spans="13:14" ht="10.5">
      <c r="M59" s="61"/>
      <c r="N59" s="61"/>
    </row>
    <row r="60" spans="1:12" ht="10.5">
      <c r="A60" s="63" t="s">
        <v>0</v>
      </c>
      <c r="L60" s="65" t="s">
        <v>128</v>
      </c>
    </row>
    <row r="61" spans="1:12" ht="10.5">
      <c r="A61" s="63" t="s">
        <v>40</v>
      </c>
      <c r="L61" s="65" t="s">
        <v>81</v>
      </c>
    </row>
    <row r="62" ht="10.5">
      <c r="A62" s="63"/>
    </row>
    <row r="63" spans="1:3" ht="10.5">
      <c r="A63" s="60" t="s">
        <v>3</v>
      </c>
      <c r="C63" s="60" t="s">
        <v>188</v>
      </c>
    </row>
    <row r="64" spans="1:3" ht="10.5">
      <c r="A64" s="60" t="s">
        <v>4</v>
      </c>
      <c r="C64" s="60" t="s">
        <v>188</v>
      </c>
    </row>
    <row r="65" ht="10.5">
      <c r="A65" s="60"/>
    </row>
    <row r="66" spans="1:3" ht="10.5">
      <c r="A66" s="60"/>
      <c r="B66" s="60"/>
      <c r="C66" s="60" t="s">
        <v>69</v>
      </c>
    </row>
    <row r="67" spans="1:2" ht="10.5">
      <c r="A67" s="60"/>
      <c r="B67" s="60"/>
    </row>
    <row r="68" ht="10.5">
      <c r="D68" s="60" t="s">
        <v>88</v>
      </c>
    </row>
    <row r="69" ht="11.25" thickBot="1"/>
    <row r="70" spans="1:12" s="141" customFormat="1" ht="10.5" customHeight="1" thickBot="1" thickTop="1">
      <c r="A70" s="139" t="s">
        <v>190</v>
      </c>
      <c r="B70" s="139" t="s">
        <v>5</v>
      </c>
      <c r="C70" s="139" t="s">
        <v>197</v>
      </c>
      <c r="D70" s="140" t="s">
        <v>59</v>
      </c>
      <c r="E70" s="139" t="s">
        <v>193</v>
      </c>
      <c r="F70" s="139" t="s">
        <v>192</v>
      </c>
      <c r="G70" s="139" t="s">
        <v>191</v>
      </c>
      <c r="H70" s="139" t="s">
        <v>194</v>
      </c>
      <c r="I70" s="139" t="s">
        <v>195</v>
      </c>
      <c r="J70" s="139" t="s">
        <v>198</v>
      </c>
      <c r="L70" s="142" t="s">
        <v>196</v>
      </c>
    </row>
    <row r="71" spans="1:12" s="141" customFormat="1" ht="13.5" customHeight="1" thickTop="1">
      <c r="A71" s="143"/>
      <c r="B71" s="143"/>
      <c r="C71" s="143"/>
      <c r="D71" s="144" t="s">
        <v>60</v>
      </c>
      <c r="E71" s="143"/>
      <c r="F71" s="143"/>
      <c r="G71" s="143"/>
      <c r="H71" s="143"/>
      <c r="I71" s="143"/>
      <c r="J71" s="143"/>
      <c r="L71" s="145" t="s">
        <v>134</v>
      </c>
    </row>
    <row r="72" spans="1:12" s="141" customFormat="1" ht="12.75" customHeight="1">
      <c r="A72" s="143"/>
      <c r="B72" s="143"/>
      <c r="C72" s="143"/>
      <c r="D72" s="146"/>
      <c r="E72" s="143"/>
      <c r="F72" s="143"/>
      <c r="G72" s="143"/>
      <c r="H72" s="143"/>
      <c r="I72" s="143"/>
      <c r="J72" s="143"/>
      <c r="L72" s="145" t="s">
        <v>135</v>
      </c>
    </row>
    <row r="73" spans="1:12" s="141" customFormat="1" ht="13.5" customHeight="1" thickBot="1">
      <c r="A73" s="147"/>
      <c r="B73" s="147"/>
      <c r="C73" s="147"/>
      <c r="D73" s="148"/>
      <c r="E73" s="147"/>
      <c r="F73" s="147"/>
      <c r="G73" s="147"/>
      <c r="H73" s="147"/>
      <c r="I73" s="147"/>
      <c r="J73" s="147"/>
      <c r="L73" s="149">
        <f>Plan1!F97</f>
        <v>0</v>
      </c>
    </row>
    <row r="74" spans="1:12" ht="11.25" thickTop="1">
      <c r="A74" s="88"/>
      <c r="B74" s="88"/>
      <c r="C74" s="88"/>
      <c r="D74" s="89"/>
      <c r="E74" s="88"/>
      <c r="F74" s="88"/>
      <c r="G74" s="88"/>
      <c r="H74" s="88"/>
      <c r="I74" s="94"/>
      <c r="J74" s="88"/>
      <c r="L74" s="88"/>
    </row>
    <row r="75" spans="1:12" ht="10.5">
      <c r="A75" s="90">
        <f>A58+1</f>
        <v>40</v>
      </c>
      <c r="B75" s="91">
        <f>B58+31</f>
        <v>33752</v>
      </c>
      <c r="C75" s="92">
        <f>J58</f>
        <v>21006859.960014433</v>
      </c>
      <c r="D75" s="93">
        <v>55917.78</v>
      </c>
      <c r="E75" s="92">
        <f>J58*0.00708326</f>
        <v>148797.05088037183</v>
      </c>
      <c r="F75" s="92">
        <f aca="true" t="shared" si="18" ref="F75:F83">G75-D75-E75</f>
        <v>104035.94698525415</v>
      </c>
      <c r="G75" s="92">
        <f>G58*H75</f>
        <v>308750.777865626</v>
      </c>
      <c r="H75" s="94">
        <f>290438.68/151633.36</f>
        <v>1.915400938157672</v>
      </c>
      <c r="I75" s="94">
        <f>Plan3!K75</f>
        <v>1.202541</v>
      </c>
      <c r="J75" s="92">
        <f aca="true" t="shared" si="19" ref="J75:J83">(C75*I75)-G75-E75</f>
        <v>24804062.554429717</v>
      </c>
      <c r="L75" s="92">
        <f>(J58*0.007083263)+L58</f>
        <v>456411.40779037937</v>
      </c>
    </row>
    <row r="76" spans="1:12" ht="10.5">
      <c r="A76" s="90">
        <f aca="true" t="shared" si="20" ref="A76:A83">A75+1</f>
        <v>41</v>
      </c>
      <c r="B76" s="91">
        <f>B75+30</f>
        <v>33782</v>
      </c>
      <c r="C76" s="92">
        <f aca="true" t="shared" si="21" ref="C76:C83">J75</f>
        <v>24804062.554429717</v>
      </c>
      <c r="D76" s="93">
        <v>55917.78</v>
      </c>
      <c r="E76" s="92">
        <f aca="true" t="shared" si="22" ref="E76:E83">J75*0.00708326</f>
        <v>175693.62412928985</v>
      </c>
      <c r="F76" s="92">
        <f t="shared" si="18"/>
        <v>77139.37373633613</v>
      </c>
      <c r="G76" s="92">
        <f aca="true" t="shared" si="23" ref="G76:G100">G75*H76</f>
        <v>308750.777865626</v>
      </c>
      <c r="H76" s="94">
        <v>1</v>
      </c>
      <c r="I76" s="94">
        <f>Plan3!K76</f>
        <v>1.221023</v>
      </c>
      <c r="J76" s="92">
        <f t="shared" si="19"/>
        <v>29801886.47040252</v>
      </c>
      <c r="L76" s="92">
        <f aca="true" t="shared" si="24" ref="L76:L83">(J75*0.007083263)+L75</f>
        <v>632105.1063318569</v>
      </c>
    </row>
    <row r="77" spans="1:12" ht="10.5">
      <c r="A77" s="90">
        <f t="shared" si="20"/>
        <v>42</v>
      </c>
      <c r="B77" s="91">
        <f>B76+31</f>
        <v>33813</v>
      </c>
      <c r="C77" s="92">
        <f t="shared" si="21"/>
        <v>29801886.47040252</v>
      </c>
      <c r="D77" s="93">
        <v>69897.22</v>
      </c>
      <c r="E77" s="92">
        <f t="shared" si="22"/>
        <v>211094.51036034335</v>
      </c>
      <c r="F77" s="92">
        <f t="shared" si="18"/>
        <v>104946.74197168907</v>
      </c>
      <c r="G77" s="92">
        <f t="shared" si="23"/>
        <v>385938.47233203246</v>
      </c>
      <c r="H77" s="94">
        <f>363048.35/290438.68</f>
        <v>1.25</v>
      </c>
      <c r="I77" s="94">
        <f>Plan3!K77</f>
        <v>1.213299</v>
      </c>
      <c r="J77" s="92">
        <f t="shared" si="19"/>
        <v>35561566.06996053</v>
      </c>
      <c r="L77" s="92">
        <f t="shared" si="24"/>
        <v>843199.7060978597</v>
      </c>
    </row>
    <row r="78" spans="1:12" ht="10.5">
      <c r="A78" s="90">
        <f t="shared" si="20"/>
        <v>43</v>
      </c>
      <c r="B78" s="91">
        <f>B77+30</f>
        <v>33843</v>
      </c>
      <c r="C78" s="92">
        <f t="shared" si="21"/>
        <v>35561566.06996053</v>
      </c>
      <c r="D78" s="93">
        <v>69897.22</v>
      </c>
      <c r="E78" s="92">
        <f t="shared" si="22"/>
        <v>251891.8184807086</v>
      </c>
      <c r="F78" s="92">
        <f t="shared" si="18"/>
        <v>64149.43385132382</v>
      </c>
      <c r="G78" s="92">
        <f t="shared" si="23"/>
        <v>385938.47233203246</v>
      </c>
      <c r="H78" s="94">
        <v>1</v>
      </c>
      <c r="I78" s="94">
        <f>Plan3!K78</f>
        <v>1.239895</v>
      </c>
      <c r="J78" s="92">
        <f t="shared" si="19"/>
        <v>43454777.671500966</v>
      </c>
      <c r="L78" s="92">
        <f t="shared" si="24"/>
        <v>1095091.6312632666</v>
      </c>
    </row>
    <row r="79" spans="1:12" ht="10.5">
      <c r="A79" s="90">
        <f t="shared" si="20"/>
        <v>44</v>
      </c>
      <c r="B79" s="91">
        <f>B78+31</f>
        <v>33874</v>
      </c>
      <c r="C79" s="92">
        <f t="shared" si="21"/>
        <v>43454777.671500966</v>
      </c>
      <c r="D79" s="93">
        <v>123300.99</v>
      </c>
      <c r="E79" s="92">
        <f t="shared" si="22"/>
        <v>307801.4884894359</v>
      </c>
      <c r="F79" s="92">
        <f t="shared" si="18"/>
        <v>249705.71204808896</v>
      </c>
      <c r="G79" s="92">
        <f t="shared" si="23"/>
        <v>680808.1905375249</v>
      </c>
      <c r="H79" s="94">
        <f>640429.26/363048.35</f>
        <v>1.7640329724677168</v>
      </c>
      <c r="I79" s="94">
        <f>Plan3!K79</f>
        <v>1.263336</v>
      </c>
      <c r="J79" s="92">
        <f t="shared" si="19"/>
        <v>53909375.325376384</v>
      </c>
      <c r="L79" s="92">
        <f t="shared" si="24"/>
        <v>1402893.2501170356</v>
      </c>
    </row>
    <row r="80" spans="1:12" ht="10.5">
      <c r="A80" s="90">
        <f t="shared" si="20"/>
        <v>45</v>
      </c>
      <c r="B80" s="91">
        <f>B79+31</f>
        <v>33905</v>
      </c>
      <c r="C80" s="92">
        <f t="shared" si="21"/>
        <v>53909375.325376384</v>
      </c>
      <c r="D80" s="93">
        <v>123300.99</v>
      </c>
      <c r="E80" s="92">
        <f t="shared" si="22"/>
        <v>381854.1218672255</v>
      </c>
      <c r="F80" s="92">
        <f t="shared" si="18"/>
        <v>175653.07867029938</v>
      </c>
      <c r="G80" s="92">
        <f t="shared" si="23"/>
        <v>680808.1905375249</v>
      </c>
      <c r="H80" s="94">
        <v>1</v>
      </c>
      <c r="I80" s="94">
        <f>Plan3!K80</f>
        <v>1.225699</v>
      </c>
      <c r="J80" s="92">
        <f t="shared" si="19"/>
        <v>65014005.11453376</v>
      </c>
      <c r="L80" s="92">
        <f t="shared" si="24"/>
        <v>1784747.533712387</v>
      </c>
    </row>
    <row r="81" spans="1:12" ht="10.5">
      <c r="A81" s="90">
        <f t="shared" si="20"/>
        <v>46</v>
      </c>
      <c r="B81" s="91">
        <f>B80+30</f>
        <v>33935</v>
      </c>
      <c r="C81" s="92">
        <f t="shared" si="21"/>
        <v>65014005.11453376</v>
      </c>
      <c r="D81" s="93">
        <v>151466.74</v>
      </c>
      <c r="E81" s="92">
        <f t="shared" si="22"/>
        <v>460511.1018675724</v>
      </c>
      <c r="F81" s="92">
        <f t="shared" si="18"/>
        <v>224348.03775491985</v>
      </c>
      <c r="G81" s="92">
        <f t="shared" si="23"/>
        <v>836325.8796224922</v>
      </c>
      <c r="H81" s="94">
        <f>786723.15/640429.26</f>
        <v>1.2284309901768073</v>
      </c>
      <c r="I81" s="94">
        <f>Plan3!K81</f>
        <v>1.162934367715643</v>
      </c>
      <c r="J81" s="92">
        <f t="shared" si="19"/>
        <v>74310183.94904183</v>
      </c>
      <c r="L81" s="92">
        <f t="shared" si="24"/>
        <v>2245258.830621975</v>
      </c>
    </row>
    <row r="82" spans="1:12" ht="10.5">
      <c r="A82" s="90">
        <f t="shared" si="20"/>
        <v>47</v>
      </c>
      <c r="B82" s="91">
        <f>B81+31</f>
        <v>33966</v>
      </c>
      <c r="C82" s="92">
        <f t="shared" si="21"/>
        <v>74310183.94904183</v>
      </c>
      <c r="D82" s="93">
        <v>151466.74</v>
      </c>
      <c r="E82" s="92">
        <f t="shared" si="22"/>
        <v>526358.35355889</v>
      </c>
      <c r="F82" s="92">
        <f t="shared" si="18"/>
        <v>158500.7860636022</v>
      </c>
      <c r="G82" s="92">
        <f t="shared" si="23"/>
        <v>836325.8796224922</v>
      </c>
      <c r="H82" s="94">
        <v>1</v>
      </c>
      <c r="I82" s="94">
        <f>Plan3!K82</f>
        <v>1.2629804478245243</v>
      </c>
      <c r="J82" s="92">
        <f t="shared" si="19"/>
        <v>92489625.16870226</v>
      </c>
      <c r="L82" s="92">
        <f t="shared" si="24"/>
        <v>2771617.407111417</v>
      </c>
    </row>
    <row r="83" spans="1:12" ht="10.5">
      <c r="A83" s="90">
        <f t="shared" si="20"/>
        <v>48</v>
      </c>
      <c r="B83" s="91">
        <f>B82+30</f>
        <v>33996</v>
      </c>
      <c r="C83" s="92">
        <f t="shared" si="21"/>
        <v>92489625.16870226</v>
      </c>
      <c r="D83" s="93">
        <v>299213.29</v>
      </c>
      <c r="E83" s="92">
        <f t="shared" si="22"/>
        <v>655128.062372462</v>
      </c>
      <c r="F83" s="92">
        <f t="shared" si="18"/>
        <v>697769.4040592198</v>
      </c>
      <c r="G83" s="92">
        <f t="shared" si="23"/>
        <v>1652110.7564316818</v>
      </c>
      <c r="H83" s="94">
        <f>1554123.59/786723.15</f>
        <v>1.9754389965517094</v>
      </c>
      <c r="I83" s="94">
        <f>Plan3!K83</f>
        <v>1.2206038687711822</v>
      </c>
      <c r="J83" s="92">
        <f t="shared" si="19"/>
        <v>110585955.48331034</v>
      </c>
      <c r="L83" s="92">
        <f t="shared" si="24"/>
        <v>3426745.7469527544</v>
      </c>
    </row>
    <row r="84" spans="1:12" ht="10.5">
      <c r="A84" s="90"/>
      <c r="B84" s="113" t="s">
        <v>41</v>
      </c>
      <c r="C84" s="103"/>
      <c r="D84" s="114"/>
      <c r="E84" s="92"/>
      <c r="F84" s="92"/>
      <c r="G84" s="92"/>
      <c r="H84" s="103"/>
      <c r="J84" s="103">
        <f>J83+L83</f>
        <v>114012701.2302631</v>
      </c>
      <c r="L84" s="92"/>
    </row>
    <row r="85" spans="1:12" ht="10.5">
      <c r="A85" s="90">
        <f>A83+1</f>
        <v>49</v>
      </c>
      <c r="B85" s="91">
        <f>B83+31</f>
        <v>34027</v>
      </c>
      <c r="C85" s="92">
        <f>J84</f>
        <v>114012701.2302631</v>
      </c>
      <c r="D85" s="93">
        <v>299213.29</v>
      </c>
      <c r="E85" s="92">
        <f aca="true" t="shared" si="25" ref="E85:E96">J84*0.00708326</f>
        <v>807581.6061162734</v>
      </c>
      <c r="F85" s="92">
        <f aca="true" t="shared" si="26" ref="F85:F96">G85-D85-E85</f>
        <v>545315.8603154083</v>
      </c>
      <c r="G85" s="92">
        <f>G83*H85</f>
        <v>1652110.7564316818</v>
      </c>
      <c r="H85" s="94">
        <v>1</v>
      </c>
      <c r="I85" s="94">
        <f>Plan3!K84</f>
        <v>1.273406495517916</v>
      </c>
      <c r="J85" s="92">
        <f aca="true" t="shared" si="27" ref="J85:J96">(C85*I85)-G85-E85</f>
        <v>142724821.9556126</v>
      </c>
      <c r="L85" s="92">
        <f aca="true" t="shared" si="28" ref="L85:L90">(J84*0.007083263)+L84</f>
        <v>807581.9481543772</v>
      </c>
    </row>
    <row r="86" spans="1:12" ht="10.5">
      <c r="A86" s="90">
        <f aca="true" t="shared" si="29" ref="A86:A96">A85+1</f>
        <v>50</v>
      </c>
      <c r="B86" s="91">
        <f>B85+28</f>
        <v>34055</v>
      </c>
      <c r="C86" s="92">
        <f aca="true" t="shared" si="30" ref="C86:C96">J85</f>
        <v>142724821.9556126</v>
      </c>
      <c r="D86" s="93">
        <v>396457.6</v>
      </c>
      <c r="E86" s="92">
        <f t="shared" si="25"/>
        <v>1010957.0223653126</v>
      </c>
      <c r="F86" s="92">
        <f t="shared" si="26"/>
        <v>781632.1227310793</v>
      </c>
      <c r="G86" s="92">
        <f t="shared" si="23"/>
        <v>2189046.745096392</v>
      </c>
      <c r="H86" s="94">
        <f>2059213.75/1554123.59</f>
        <v>1.324999995656716</v>
      </c>
      <c r="I86" s="94">
        <f>Plan3!K85</f>
        <v>1.3138120437640746</v>
      </c>
      <c r="J86" s="92">
        <f t="shared" si="27"/>
        <v>184313586.26190537</v>
      </c>
      <c r="L86" s="92">
        <f t="shared" si="28"/>
        <v>1818539.3986941557</v>
      </c>
    </row>
    <row r="87" spans="1:12" ht="10.5">
      <c r="A87" s="90">
        <f t="shared" si="29"/>
        <v>51</v>
      </c>
      <c r="B87" s="91">
        <f>B86+31</f>
        <v>34086</v>
      </c>
      <c r="C87" s="92">
        <f t="shared" si="30"/>
        <v>184313586.26190537</v>
      </c>
      <c r="D87" s="93">
        <v>396457.6</v>
      </c>
      <c r="E87" s="92">
        <f t="shared" si="25"/>
        <v>1305541.0530255039</v>
      </c>
      <c r="F87" s="92">
        <f t="shared" si="26"/>
        <v>487048.09207088803</v>
      </c>
      <c r="G87" s="92">
        <f t="shared" si="23"/>
        <v>2189046.745096392</v>
      </c>
      <c r="H87" s="94">
        <v>1</v>
      </c>
      <c r="I87" s="94">
        <f>Plan3!K86</f>
        <v>1.22395915165214</v>
      </c>
      <c r="J87" s="92">
        <f t="shared" si="27"/>
        <v>222097712.88096333</v>
      </c>
      <c r="L87" s="92">
        <f t="shared" si="28"/>
        <v>3124081.0046604183</v>
      </c>
    </row>
    <row r="88" spans="1:12" ht="10.5">
      <c r="A88" s="90">
        <f t="shared" si="29"/>
        <v>52</v>
      </c>
      <c r="B88" s="91">
        <f>B87+30</f>
        <v>34116</v>
      </c>
      <c r="C88" s="92">
        <f t="shared" si="30"/>
        <v>222097712.88096333</v>
      </c>
      <c r="D88" s="93">
        <v>744420.1</v>
      </c>
      <c r="E88" s="92">
        <f t="shared" si="25"/>
        <v>1573175.8457412124</v>
      </c>
      <c r="F88" s="92">
        <f t="shared" si="26"/>
        <v>1792731.1523503088</v>
      </c>
      <c r="G88" s="92">
        <f t="shared" si="23"/>
        <v>4110327.0980915213</v>
      </c>
      <c r="H88" s="94">
        <f>3866542.41/2059213.75</f>
        <v>1.8776789976271284</v>
      </c>
      <c r="I88" s="94">
        <f>Plan3!K87</f>
        <v>1.2566782028181822</v>
      </c>
      <c r="J88" s="92">
        <f t="shared" si="27"/>
        <v>273421851.72944486</v>
      </c>
      <c r="L88" s="92">
        <f t="shared" si="28"/>
        <v>4697257.516694769</v>
      </c>
    </row>
    <row r="89" spans="1:12" ht="10.5">
      <c r="A89" s="90">
        <f t="shared" si="29"/>
        <v>53</v>
      </c>
      <c r="B89" s="91">
        <f>B88+31</f>
        <v>34147</v>
      </c>
      <c r="C89" s="92">
        <f t="shared" si="30"/>
        <v>273421851.72944486</v>
      </c>
      <c r="D89" s="93">
        <v>744420.1</v>
      </c>
      <c r="E89" s="92">
        <f t="shared" si="25"/>
        <v>1936718.0654811077</v>
      </c>
      <c r="F89" s="92">
        <f t="shared" si="26"/>
        <v>1429188.9326104135</v>
      </c>
      <c r="G89" s="92">
        <f t="shared" si="23"/>
        <v>4110327.0980915213</v>
      </c>
      <c r="H89" s="94">
        <v>1</v>
      </c>
      <c r="I89" s="94">
        <f>Plan3!K88</f>
        <v>1.311238260067865</v>
      </c>
      <c r="J89" s="92">
        <f t="shared" si="27"/>
        <v>352474147.9626784</v>
      </c>
      <c r="L89" s="92">
        <f t="shared" si="28"/>
        <v>6633976.402441433</v>
      </c>
    </row>
    <row r="90" spans="1:12" ht="10.5">
      <c r="A90" s="90">
        <f t="shared" si="29"/>
        <v>54</v>
      </c>
      <c r="B90" s="91">
        <f>B89+30</f>
        <v>34177</v>
      </c>
      <c r="C90" s="92">
        <f t="shared" si="30"/>
        <v>352474147.9626784</v>
      </c>
      <c r="D90" s="93">
        <v>1024545.37</v>
      </c>
      <c r="E90" s="92">
        <f t="shared" si="25"/>
        <v>2496666.0332981213</v>
      </c>
      <c r="F90" s="92">
        <f t="shared" si="26"/>
        <v>2135831.7723621675</v>
      </c>
      <c r="G90" s="92">
        <f t="shared" si="23"/>
        <v>5657043.175660289</v>
      </c>
      <c r="H90" s="94">
        <f>5321522.31/3866542.41</f>
        <v>1.3762999977025985</v>
      </c>
      <c r="I90" s="94">
        <f>Plan3!K89</f>
        <v>1.2987418359583298</v>
      </c>
      <c r="J90" s="92">
        <f t="shared" si="27"/>
        <v>449619212.84393847</v>
      </c>
      <c r="L90" s="92">
        <f t="shared" si="28"/>
        <v>9130643.493161999</v>
      </c>
    </row>
    <row r="91" spans="1:12" ht="10.5">
      <c r="A91" s="90">
        <f t="shared" si="29"/>
        <v>55</v>
      </c>
      <c r="B91" s="91">
        <f>B90+31</f>
        <v>34208</v>
      </c>
      <c r="C91" s="92">
        <f>J90/1000</f>
        <v>449619.2128439385</v>
      </c>
      <c r="D91" s="93">
        <v>1024.54</v>
      </c>
      <c r="E91" s="92">
        <f>(J90*0.00708326)/1000</f>
        <v>3184.7697855689557</v>
      </c>
      <c r="F91" s="92">
        <f>(G91/1000)-D91-E91</f>
        <v>-4203.652742393296</v>
      </c>
      <c r="G91" s="92">
        <f t="shared" si="23"/>
        <v>5657.043175660289</v>
      </c>
      <c r="H91" s="94">
        <v>0.001</v>
      </c>
      <c r="I91" s="115">
        <f>Plan3!K90</f>
        <v>0.0012873395867375435</v>
      </c>
      <c r="J91" s="92">
        <f>(J90*I91)-G91-E91</f>
        <v>569970.7986905461</v>
      </c>
      <c r="L91" s="92">
        <f>(J90/1000*0.007083263)+L90/1000</f>
        <v>12315.414627588594</v>
      </c>
    </row>
    <row r="92" spans="1:12" ht="10.5">
      <c r="A92" s="90">
        <f t="shared" si="29"/>
        <v>56</v>
      </c>
      <c r="B92" s="91">
        <f>B91+31</f>
        <v>34239</v>
      </c>
      <c r="C92" s="92">
        <f t="shared" si="30"/>
        <v>569970.7986905461</v>
      </c>
      <c r="D92" s="93">
        <v>2056.65</v>
      </c>
      <c r="E92" s="92">
        <f t="shared" si="25"/>
        <v>4037.2513595327973</v>
      </c>
      <c r="F92" s="92">
        <f t="shared" si="26"/>
        <v>5262.037280198939</v>
      </c>
      <c r="G92" s="92">
        <f t="shared" si="23"/>
        <v>11355.938639731736</v>
      </c>
      <c r="H92" s="94">
        <f>10682.41/5321.52</f>
        <v>2.0073982621506636</v>
      </c>
      <c r="I92" s="94">
        <v>1.3468</v>
      </c>
      <c r="J92" s="92">
        <f t="shared" si="27"/>
        <v>752243.4816771629</v>
      </c>
      <c r="L92" s="92">
        <f>(J91*0.007083263)+L91</f>
        <v>16352.667697033787</v>
      </c>
    </row>
    <row r="93" spans="1:12" ht="10.5">
      <c r="A93" s="90">
        <f t="shared" si="29"/>
        <v>57</v>
      </c>
      <c r="B93" s="91">
        <f>B92+30</f>
        <v>34269</v>
      </c>
      <c r="C93" s="92">
        <f t="shared" si="30"/>
        <v>752243.4816771629</v>
      </c>
      <c r="D93" s="93">
        <v>2452.75</v>
      </c>
      <c r="E93" s="92">
        <f t="shared" si="25"/>
        <v>5328.336164024581</v>
      </c>
      <c r="F93" s="92">
        <f t="shared" si="26"/>
        <v>5762.0039551526415</v>
      </c>
      <c r="G93" s="92">
        <f t="shared" si="23"/>
        <v>13543.090119177223</v>
      </c>
      <c r="H93" s="94">
        <f>12739.84/10682.41</f>
        <v>1.192599797236766</v>
      </c>
      <c r="I93" s="94">
        <f>Plan3!K92</f>
        <v>1.3241971124693617</v>
      </c>
      <c r="J93" s="92">
        <f t="shared" si="27"/>
        <v>977247.2200275966</v>
      </c>
      <c r="L93" s="92">
        <f>(J92*0.007083263)+L92</f>
        <v>21681.006117788813</v>
      </c>
    </row>
    <row r="94" spans="1:12" ht="10.5">
      <c r="A94" s="90">
        <f>A93+1</f>
        <v>58</v>
      </c>
      <c r="B94" s="91">
        <f>B93+31</f>
        <v>34300</v>
      </c>
      <c r="C94" s="92">
        <f t="shared" si="30"/>
        <v>977247.2200275966</v>
      </c>
      <c r="D94" s="93">
        <v>2997.74</v>
      </c>
      <c r="E94" s="92">
        <f t="shared" si="25"/>
        <v>6922.096143732674</v>
      </c>
      <c r="F94" s="92">
        <f t="shared" si="26"/>
        <v>6632.525997578709</v>
      </c>
      <c r="G94" s="92">
        <f t="shared" si="23"/>
        <v>16552.362141311383</v>
      </c>
      <c r="H94" s="94">
        <f>15570.63/12739.84</f>
        <v>1.2221998078468803</v>
      </c>
      <c r="I94" s="94">
        <f>Plan3!K93</f>
        <v>1.3899169083735141</v>
      </c>
      <c r="J94" s="92">
        <f t="shared" si="27"/>
        <v>1334817.9764923241</v>
      </c>
      <c r="L94" s="92">
        <f>(J93*0.007083263)+L93</f>
        <v>28603.105193263145</v>
      </c>
    </row>
    <row r="95" spans="1:12" ht="10.5">
      <c r="A95" s="90">
        <f t="shared" si="29"/>
        <v>59</v>
      </c>
      <c r="B95" s="91">
        <f>B94+30</f>
        <v>34330</v>
      </c>
      <c r="C95" s="92">
        <f t="shared" si="30"/>
        <v>1334817.9764923241</v>
      </c>
      <c r="D95" s="93">
        <v>3752.26</v>
      </c>
      <c r="E95" s="92">
        <f t="shared" si="25"/>
        <v>9454.86278016902</v>
      </c>
      <c r="F95" s="92">
        <f t="shared" si="26"/>
        <v>9809.604849523708</v>
      </c>
      <c r="G95" s="92">
        <f t="shared" si="23"/>
        <v>23016.72762969273</v>
      </c>
      <c r="H95" s="94">
        <f>4102908.63/2950585.79</f>
        <v>1.3905403611396094</v>
      </c>
      <c r="I95" s="94">
        <f>Plan3!K94</f>
        <v>1.3905403611396094</v>
      </c>
      <c r="J95" s="92">
        <f t="shared" si="27"/>
        <v>1823646.6806774172</v>
      </c>
      <c r="L95" s="92">
        <f>(J94*0.007083263)+L94</f>
        <v>38057.971977886096</v>
      </c>
    </row>
    <row r="96" spans="1:12" ht="10.5">
      <c r="A96" s="90">
        <f t="shared" si="29"/>
        <v>60</v>
      </c>
      <c r="B96" s="91">
        <f>B95+31</f>
        <v>34361</v>
      </c>
      <c r="C96" s="92">
        <f t="shared" si="30"/>
        <v>1823646.6806774172</v>
      </c>
      <c r="D96" s="93">
        <v>6704.4</v>
      </c>
      <c r="E96" s="92">
        <f t="shared" si="25"/>
        <v>12917.363587375123</v>
      </c>
      <c r="F96" s="92">
        <f t="shared" si="26"/>
        <v>21503.739644832593</v>
      </c>
      <c r="G96" s="92">
        <f t="shared" si="23"/>
        <v>41125.50323220772</v>
      </c>
      <c r="H96" s="94">
        <f>34823.62/19489.75</f>
        <v>1.7867658641080568</v>
      </c>
      <c r="I96" s="94">
        <f>Plan3!K95</f>
        <v>1.317852308595037</v>
      </c>
      <c r="J96" s="92">
        <f t="shared" si="27"/>
        <v>2349254.121372828</v>
      </c>
      <c r="L96" s="92">
        <f>(J95*0.007083263)+L95</f>
        <v>50975.34103620126</v>
      </c>
    </row>
    <row r="97" spans="1:12" ht="10.5">
      <c r="A97" s="90"/>
      <c r="B97" s="113" t="s">
        <v>41</v>
      </c>
      <c r="C97" s="103"/>
      <c r="D97" s="114"/>
      <c r="E97" s="92"/>
      <c r="F97" s="92"/>
      <c r="G97" s="92"/>
      <c r="H97" s="103"/>
      <c r="J97" s="103">
        <f>J96+L96</f>
        <v>2400229.4624090292</v>
      </c>
      <c r="L97" s="92"/>
    </row>
    <row r="98" spans="1:12" ht="10.5">
      <c r="A98" s="90">
        <f>A96+1</f>
        <v>61</v>
      </c>
      <c r="B98" s="91">
        <f>B96+31</f>
        <v>34392</v>
      </c>
      <c r="C98" s="92">
        <f>J97</f>
        <v>2400229.4624090292</v>
      </c>
      <c r="D98" s="93">
        <v>8373.11</v>
      </c>
      <c r="E98" s="92">
        <f>J97*0.00708326</f>
        <v>17001.449341903382</v>
      </c>
      <c r="F98" s="92">
        <f>G98-D98-E98</f>
        <v>25986.96470793215</v>
      </c>
      <c r="G98" s="92">
        <f>G96*H98</f>
        <v>51361.524049835534</v>
      </c>
      <c r="H98" s="94">
        <f>43491.12/34823.62</f>
        <v>1.2488971565850995</v>
      </c>
      <c r="I98" s="94">
        <f>Plan3!K96</f>
        <v>1.442651764080783</v>
      </c>
      <c r="J98" s="92">
        <f>(C98*I98)-G98-E98</f>
        <v>3394332.2947513163</v>
      </c>
      <c r="L98" s="92">
        <f>(J97*0.007083263)+L97</f>
        <v>17001.456542591768</v>
      </c>
    </row>
    <row r="99" spans="1:12" ht="10.5">
      <c r="A99" s="90">
        <f>A98+1</f>
        <v>62</v>
      </c>
      <c r="B99" s="91">
        <f>B98+28</f>
        <v>34420</v>
      </c>
      <c r="C99" s="92">
        <f>J98</f>
        <v>3394332.2947513163</v>
      </c>
      <c r="D99" s="93">
        <v>10663.14</v>
      </c>
      <c r="E99" s="92">
        <f>J98*0.00708326</f>
        <v>24042.938170120207</v>
      </c>
      <c r="F99" s="92">
        <f>G99-D99-E99</f>
        <v>30702.815698328013</v>
      </c>
      <c r="G99" s="92">
        <f t="shared" si="23"/>
        <v>65408.89386844822</v>
      </c>
      <c r="H99" s="94">
        <f>55386.05/43491.21</f>
        <v>1.2734998635356434</v>
      </c>
      <c r="I99" s="94">
        <f>Plan3!K97</f>
        <v>1.455601733442849</v>
      </c>
      <c r="J99" s="92">
        <f>(C99*I99)-G99-E99</f>
        <v>4851344.140082492</v>
      </c>
      <c r="L99" s="92">
        <f>(J98*0.007083263)+L98</f>
        <v>41044.40489570887</v>
      </c>
    </row>
    <row r="100" spans="1:12" ht="10.5">
      <c r="A100" s="90">
        <f>A99+1</f>
        <v>63</v>
      </c>
      <c r="B100" s="91">
        <f>B99+31</f>
        <v>34451</v>
      </c>
      <c r="C100" s="92">
        <f>J99</f>
        <v>4851344.140082492</v>
      </c>
      <c r="D100" s="93">
        <v>13888.73</v>
      </c>
      <c r="E100" s="92">
        <f>J99*0.00708326</f>
        <v>34363.33189368071</v>
      </c>
      <c r="F100" s="92">
        <f>G100-D100-E100</f>
        <v>36943.02222235269</v>
      </c>
      <c r="G100" s="92">
        <f t="shared" si="23"/>
        <v>85195.0841160334</v>
      </c>
      <c r="H100" s="94">
        <f>72140.33/55386.05</f>
        <v>1.302499997743114</v>
      </c>
      <c r="I100" s="94">
        <f>Plan3!K98</f>
        <v>1.3816743738337338</v>
      </c>
      <c r="J100" s="92">
        <f>(C100*I100)-G100-E100</f>
        <v>6583419.460990717</v>
      </c>
      <c r="L100" s="92">
        <f>(J99*0.007083263)+L99</f>
        <v>75407.75134342199</v>
      </c>
    </row>
    <row r="101" ht="10.5">
      <c r="I101" s="94"/>
    </row>
    <row r="102" spans="1:12" ht="10.5">
      <c r="A102" s="95" t="s">
        <v>12</v>
      </c>
      <c r="B102" s="96"/>
      <c r="C102" s="97"/>
      <c r="D102" s="96"/>
      <c r="E102" s="98"/>
      <c r="F102" s="98"/>
      <c r="G102" s="97"/>
      <c r="H102" s="97"/>
      <c r="I102" s="97"/>
      <c r="J102" s="97">
        <f>J100</f>
        <v>6583419.460990717</v>
      </c>
      <c r="L102" s="97">
        <f>L100</f>
        <v>75407.75134342199</v>
      </c>
    </row>
    <row r="104" spans="1:12" ht="10.5">
      <c r="A104" s="60" t="s">
        <v>70</v>
      </c>
      <c r="L104" s="99">
        <f>J102</f>
        <v>6583419.460990717</v>
      </c>
    </row>
    <row r="105" spans="1:12" ht="10.5">
      <c r="A105" s="60" t="s">
        <v>71</v>
      </c>
      <c r="L105" s="110">
        <f>L102</f>
        <v>75407.75134342199</v>
      </c>
    </row>
    <row r="106" spans="1:12" ht="10.5">
      <c r="A106" s="60" t="s">
        <v>39</v>
      </c>
      <c r="E106" s="100">
        <v>34451</v>
      </c>
      <c r="F106" s="100"/>
      <c r="L106" s="99">
        <f>SUM(L104:L105)</f>
        <v>6658827.212334138</v>
      </c>
    </row>
    <row r="107" spans="1:6" ht="10.5">
      <c r="A107" s="60" t="s">
        <v>75</v>
      </c>
      <c r="E107" s="100"/>
      <c r="F107" s="100"/>
    </row>
    <row r="108" ht="10.5">
      <c r="A108" s="101" t="s">
        <v>72</v>
      </c>
    </row>
  </sheetData>
  <sheetProtection/>
  <mergeCells count="20">
    <mergeCell ref="H70:H73"/>
    <mergeCell ref="I70:I73"/>
    <mergeCell ref="J70:J73"/>
    <mergeCell ref="D71:D73"/>
    <mergeCell ref="G12:G15"/>
    <mergeCell ref="H12:H15"/>
    <mergeCell ref="I12:I15"/>
    <mergeCell ref="J12:J15"/>
    <mergeCell ref="A70:A73"/>
    <mergeCell ref="B70:B73"/>
    <mergeCell ref="C70:C73"/>
    <mergeCell ref="E70:E73"/>
    <mergeCell ref="F70:F73"/>
    <mergeCell ref="G70:G73"/>
    <mergeCell ref="A12:A15"/>
    <mergeCell ref="B12:B15"/>
    <mergeCell ref="C12:C15"/>
    <mergeCell ref="D13:D15"/>
    <mergeCell ref="E12:E15"/>
    <mergeCell ref="F12:F15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3"/>
  <sheetViews>
    <sheetView zoomScale="110" zoomScaleNormal="110" zoomScalePageLayoutView="0" workbookViewId="0" topLeftCell="A103">
      <selection activeCell="D69" sqref="D69"/>
    </sheetView>
  </sheetViews>
  <sheetFormatPr defaultColWidth="14.28125" defaultRowHeight="12.75"/>
  <cols>
    <col min="1" max="1" width="11.57421875" style="64" customWidth="1"/>
    <col min="2" max="16384" width="13.28125" style="64" customWidth="1"/>
  </cols>
  <sheetData>
    <row r="1" spans="1:12" ht="10.5">
      <c r="A1" s="63"/>
      <c r="L1" s="65" t="s">
        <v>129</v>
      </c>
    </row>
    <row r="2" spans="1:12" ht="10.5">
      <c r="A2" s="63"/>
      <c r="L2" s="65" t="s">
        <v>2</v>
      </c>
    </row>
    <row r="3" spans="1:10" ht="10.5">
      <c r="A3" s="63"/>
      <c r="J3" s="65"/>
    </row>
    <row r="4" spans="1:10" ht="10.5">
      <c r="A4" s="60" t="s">
        <v>3</v>
      </c>
      <c r="B4" s="60" t="s">
        <v>188</v>
      </c>
      <c r="J4" s="60"/>
    </row>
    <row r="5" spans="1:2" ht="10.5">
      <c r="A5" s="60" t="s">
        <v>4</v>
      </c>
      <c r="B5" s="60" t="s">
        <v>188</v>
      </c>
    </row>
    <row r="6" ht="10.5">
      <c r="A6" s="60"/>
    </row>
    <row r="7" spans="1:2" ht="10.5">
      <c r="A7" s="60"/>
      <c r="B7" s="60" t="s">
        <v>73</v>
      </c>
    </row>
    <row r="8" spans="1:2" ht="10.5">
      <c r="A8" s="60"/>
      <c r="B8" s="60" t="s">
        <v>84</v>
      </c>
    </row>
    <row r="9" ht="10.5">
      <c r="D9" s="60" t="s">
        <v>189</v>
      </c>
    </row>
    <row r="10" ht="11.25" thickBot="1">
      <c r="D10" s="60"/>
    </row>
    <row r="11" spans="1:12" ht="12" thickBot="1" thickTop="1">
      <c r="A11" s="82" t="s">
        <v>66</v>
      </c>
      <c r="B11" s="82" t="s">
        <v>5</v>
      </c>
      <c r="C11" s="82" t="s">
        <v>85</v>
      </c>
      <c r="D11" s="83" t="s">
        <v>59</v>
      </c>
      <c r="E11" s="82" t="s">
        <v>103</v>
      </c>
      <c r="F11" s="82" t="s">
        <v>104</v>
      </c>
      <c r="G11" s="82" t="s">
        <v>26</v>
      </c>
      <c r="H11" s="82" t="s">
        <v>67</v>
      </c>
      <c r="I11" s="82" t="s">
        <v>67</v>
      </c>
      <c r="J11" s="82" t="s">
        <v>85</v>
      </c>
      <c r="L11" s="82" t="s">
        <v>8</v>
      </c>
    </row>
    <row r="12" spans="1:12" ht="11.25" thickTop="1">
      <c r="A12" s="84" t="s">
        <v>64</v>
      </c>
      <c r="B12" s="84"/>
      <c r="C12" s="84" t="s">
        <v>86</v>
      </c>
      <c r="D12" s="84"/>
      <c r="E12" s="84"/>
      <c r="F12" s="84"/>
      <c r="G12" s="84" t="s">
        <v>121</v>
      </c>
      <c r="H12" s="84" t="s">
        <v>124</v>
      </c>
      <c r="I12" s="84" t="s">
        <v>124</v>
      </c>
      <c r="J12" s="84" t="s">
        <v>86</v>
      </c>
      <c r="L12" s="84"/>
    </row>
    <row r="13" spans="1:12" ht="10.5">
      <c r="A13" s="84" t="s">
        <v>90</v>
      </c>
      <c r="B13" s="84"/>
      <c r="C13" s="84" t="s">
        <v>113</v>
      </c>
      <c r="D13" s="85" t="s">
        <v>60</v>
      </c>
      <c r="E13" s="84"/>
      <c r="F13" s="84"/>
      <c r="G13" s="84" t="s">
        <v>27</v>
      </c>
      <c r="H13" s="84" t="s">
        <v>116</v>
      </c>
      <c r="I13" s="84" t="s">
        <v>85</v>
      </c>
      <c r="J13" s="84" t="s">
        <v>87</v>
      </c>
      <c r="L13" s="84" t="s">
        <v>82</v>
      </c>
    </row>
    <row r="14" spans="1:12" ht="10.5">
      <c r="A14" s="84"/>
      <c r="B14" s="84"/>
      <c r="C14" s="84"/>
      <c r="D14" s="111"/>
      <c r="E14" s="84"/>
      <c r="F14" s="84"/>
      <c r="G14" s="84" t="s">
        <v>122</v>
      </c>
      <c r="H14" s="84"/>
      <c r="I14" s="84" t="s">
        <v>125</v>
      </c>
      <c r="J14" s="84" t="s">
        <v>134</v>
      </c>
      <c r="L14" s="84"/>
    </row>
    <row r="15" spans="1:12" ht="10.5">
      <c r="A15" s="84"/>
      <c r="B15" s="84"/>
      <c r="C15" s="84"/>
      <c r="D15" s="111"/>
      <c r="E15" s="84"/>
      <c r="F15" s="84"/>
      <c r="G15" s="84" t="s">
        <v>123</v>
      </c>
      <c r="H15" s="84"/>
      <c r="I15" s="84"/>
      <c r="J15" s="84"/>
      <c r="L15" s="84"/>
    </row>
    <row r="16" spans="1:12" ht="11.25" thickBot="1">
      <c r="A16" s="86"/>
      <c r="B16" s="86"/>
      <c r="C16" s="86" t="s">
        <v>11</v>
      </c>
      <c r="D16" s="87"/>
      <c r="E16" s="86" t="s">
        <v>11</v>
      </c>
      <c r="F16" s="86" t="s">
        <v>11</v>
      </c>
      <c r="G16" s="86" t="s">
        <v>11</v>
      </c>
      <c r="H16" s="86"/>
      <c r="I16" s="86"/>
      <c r="J16" s="86" t="s">
        <v>11</v>
      </c>
      <c r="L16" s="86">
        <v>0.007083263</v>
      </c>
    </row>
    <row r="17" spans="1:12" ht="10.5" customHeight="1" thickTop="1">
      <c r="A17" s="104" t="s">
        <v>80</v>
      </c>
      <c r="B17" s="105">
        <v>34451</v>
      </c>
      <c r="C17" s="106">
        <f>Plan6!L104</f>
        <v>6583419.460990717</v>
      </c>
      <c r="E17" s="106"/>
      <c r="F17" s="106"/>
      <c r="G17" s="106">
        <f>Plan6!G100</f>
        <v>85195.0841160334</v>
      </c>
      <c r="H17" s="107">
        <v>1</v>
      </c>
      <c r="I17" s="107"/>
      <c r="J17" s="106">
        <f>C17</f>
        <v>6583419.460990717</v>
      </c>
      <c r="L17" s="106">
        <f>Plan6!L105</f>
        <v>75407.75134342199</v>
      </c>
    </row>
    <row r="18" spans="1:12" ht="10.5">
      <c r="A18" s="90">
        <f>64</f>
        <v>64</v>
      </c>
      <c r="B18" s="91">
        <f>B17+30</f>
        <v>34481</v>
      </c>
      <c r="C18" s="92">
        <f>J17</f>
        <v>6583419.460990717</v>
      </c>
      <c r="D18" s="93">
        <f>8614.92+24060.35</f>
        <v>32675.269999999997</v>
      </c>
      <c r="E18" s="92">
        <f>J17*0.007083263</f>
        <v>46632.09148151549</v>
      </c>
      <c r="F18" s="92">
        <f>G18-D18-E18</f>
        <v>41836.98110845581</v>
      </c>
      <c r="G18" s="92">
        <f>G17*H18</f>
        <v>121144.3425899713</v>
      </c>
      <c r="H18" s="94">
        <v>1.421964</v>
      </c>
      <c r="I18" s="112">
        <f>Plan4!J18</f>
        <v>2.1489119384137982</v>
      </c>
      <c r="J18" s="106">
        <f>J17*I18-E18</f>
        <v>14100556.583827168</v>
      </c>
      <c r="L18" s="106">
        <f>(J17*0.007083263)+L17</f>
        <v>122039.84282493748</v>
      </c>
    </row>
    <row r="19" spans="1:12" ht="10.5">
      <c r="A19" s="90">
        <f aca="true" t="shared" si="0" ref="A19:A26">A18+1</f>
        <v>65</v>
      </c>
      <c r="B19" s="91">
        <f>B18+31</f>
        <v>34512</v>
      </c>
      <c r="C19" s="92">
        <f>J18/661.0055</f>
        <v>21331.980723045675</v>
      </c>
      <c r="D19" s="93">
        <f>4.43+12.38</f>
        <v>16.810000000000002</v>
      </c>
      <c r="E19" s="92">
        <f>(J18*0.007083263)/661.0055</f>
        <v>151.10002977226267</v>
      </c>
      <c r="F19" s="92">
        <f aca="true" t="shared" si="1" ref="F19:F26">G19-D19-E19</f>
        <v>-105.50506571823334</v>
      </c>
      <c r="G19" s="92">
        <f>(G18*H19)</f>
        <v>62.40496405402933</v>
      </c>
      <c r="H19" s="94">
        <v>0.000515129</v>
      </c>
      <c r="I19" s="112">
        <f>Plan4!J19</f>
        <v>0.0005955999646453122</v>
      </c>
      <c r="J19" s="106">
        <f aca="true" t="shared" si="2" ref="J19:J26">J18*I19-E19</f>
        <v>8247.190973034423</v>
      </c>
      <c r="L19" s="106">
        <f>(J18/661.0052*0.007083263)+(L18/661.0052)</f>
        <v>335.72775759489775</v>
      </c>
    </row>
    <row r="20" spans="1:12" ht="10.5">
      <c r="A20" s="90">
        <f t="shared" si="0"/>
        <v>66</v>
      </c>
      <c r="B20" s="91">
        <f>B19+30</f>
        <v>34542</v>
      </c>
      <c r="C20" s="92">
        <f aca="true" t="shared" si="3" ref="C20:C26">J19</f>
        <v>8247.190973034423</v>
      </c>
      <c r="D20" s="93">
        <f>6.49+18.16</f>
        <v>24.65</v>
      </c>
      <c r="E20" s="92">
        <f aca="true" t="shared" si="4" ref="E20:E26">J19*0.007083263</f>
        <v>58.41702267322873</v>
      </c>
      <c r="F20" s="92">
        <f t="shared" si="1"/>
        <v>8.420214754079609</v>
      </c>
      <c r="G20" s="92">
        <f aca="true" t="shared" si="5" ref="G20:G26">G19*H20</f>
        <v>91.48723742730834</v>
      </c>
      <c r="H20" s="94">
        <v>1.466025</v>
      </c>
      <c r="I20" s="112">
        <f>Plan4!J20</f>
        <v>0.9923885575860926</v>
      </c>
      <c r="J20" s="106">
        <f t="shared" si="2"/>
        <v>8126.000931193446</v>
      </c>
      <c r="L20" s="106">
        <f aca="true" t="shared" si="6" ref="L20:L26">(J19*0.007083263)+L19</f>
        <v>394.1447802681265</v>
      </c>
    </row>
    <row r="21" spans="1:12" ht="10.5">
      <c r="A21" s="90">
        <f t="shared" si="0"/>
        <v>67</v>
      </c>
      <c r="B21" s="91">
        <f>B20+31</f>
        <v>34573</v>
      </c>
      <c r="C21" s="92">
        <f t="shared" si="3"/>
        <v>8126.000931193446</v>
      </c>
      <c r="D21" s="93">
        <f>6.49+18.16</f>
        <v>24.65</v>
      </c>
      <c r="E21" s="92">
        <f t="shared" si="4"/>
        <v>57.55860173388809</v>
      </c>
      <c r="F21" s="92">
        <f t="shared" si="1"/>
        <v>9.278635693420249</v>
      </c>
      <c r="G21" s="92">
        <f t="shared" si="5"/>
        <v>91.48723742730834</v>
      </c>
      <c r="H21" s="94">
        <v>1</v>
      </c>
      <c r="I21" s="112">
        <f>Plan4!J21</f>
        <v>1.0273560120745853</v>
      </c>
      <c r="J21" s="106">
        <f t="shared" si="2"/>
        <v>8290.737309051377</v>
      </c>
      <c r="L21" s="106">
        <f t="shared" si="6"/>
        <v>451.7033820020146</v>
      </c>
    </row>
    <row r="22" spans="1:12" ht="10.5">
      <c r="A22" s="90">
        <f t="shared" si="0"/>
        <v>68</v>
      </c>
      <c r="B22" s="91">
        <f>B21+31</f>
        <v>34604</v>
      </c>
      <c r="C22" s="92">
        <f t="shared" si="3"/>
        <v>8290.737309051377</v>
      </c>
      <c r="D22" s="93">
        <f>6.49+18.16</f>
        <v>24.65</v>
      </c>
      <c r="E22" s="92">
        <f t="shared" si="4"/>
        <v>58.72547282392319</v>
      </c>
      <c r="F22" s="92">
        <f t="shared" si="1"/>
        <v>8.111764603385147</v>
      </c>
      <c r="G22" s="92">
        <f t="shared" si="5"/>
        <v>91.48723742730834</v>
      </c>
      <c r="H22" s="94">
        <v>1</v>
      </c>
      <c r="I22" s="112">
        <f>Plan4!J22</f>
        <v>1.023813885326983</v>
      </c>
      <c r="J22" s="106">
        <f t="shared" si="2"/>
        <v>8429.446503781342</v>
      </c>
      <c r="L22" s="106">
        <f t="shared" si="6"/>
        <v>510.42885482593783</v>
      </c>
    </row>
    <row r="23" spans="1:12" ht="10.5">
      <c r="A23" s="90">
        <f t="shared" si="0"/>
        <v>69</v>
      </c>
      <c r="B23" s="91">
        <f>B22+30</f>
        <v>34634</v>
      </c>
      <c r="C23" s="92">
        <f t="shared" si="3"/>
        <v>8429.446503781342</v>
      </c>
      <c r="D23" s="93">
        <f>6.49+18.16</f>
        <v>24.65</v>
      </c>
      <c r="E23" s="92">
        <f t="shared" si="4"/>
        <v>59.70798653071375</v>
      </c>
      <c r="F23" s="92">
        <f t="shared" si="1"/>
        <v>7.129250896594591</v>
      </c>
      <c r="G23" s="92">
        <f t="shared" si="5"/>
        <v>91.48723742730834</v>
      </c>
      <c r="H23" s="94">
        <v>1</v>
      </c>
      <c r="I23" s="112">
        <f>Plan4!J23</f>
        <v>1.0277511779089878</v>
      </c>
      <c r="J23" s="106">
        <f t="shared" si="2"/>
        <v>8603.66558685136</v>
      </c>
      <c r="L23" s="106">
        <f t="shared" si="6"/>
        <v>570.1368413566515</v>
      </c>
    </row>
    <row r="24" spans="1:12" ht="10.5">
      <c r="A24" s="90">
        <f t="shared" si="0"/>
        <v>70</v>
      </c>
      <c r="B24" s="91">
        <f>B23+31</f>
        <v>34665</v>
      </c>
      <c r="C24" s="92">
        <f t="shared" si="3"/>
        <v>8603.66558685136</v>
      </c>
      <c r="D24" s="93">
        <f>6.49+18.16</f>
        <v>24.65</v>
      </c>
      <c r="E24" s="92">
        <f t="shared" si="4"/>
        <v>60.94202611571753</v>
      </c>
      <c r="F24" s="92">
        <f t="shared" si="1"/>
        <v>5.895211311590806</v>
      </c>
      <c r="G24" s="92">
        <f t="shared" si="5"/>
        <v>91.48723742730834</v>
      </c>
      <c r="H24" s="94">
        <v>1</v>
      </c>
      <c r="I24" s="112">
        <f>Plan4!J24</f>
        <v>1.0283685803128821</v>
      </c>
      <c r="J24" s="106">
        <f t="shared" si="2"/>
        <v>8786.797338921417</v>
      </c>
      <c r="L24" s="106">
        <f t="shared" si="6"/>
        <v>631.0788674723691</v>
      </c>
    </row>
    <row r="25" spans="1:12" ht="10.5">
      <c r="A25" s="90">
        <f t="shared" si="0"/>
        <v>71</v>
      </c>
      <c r="B25" s="91">
        <f>B24+30</f>
        <v>34695</v>
      </c>
      <c r="C25" s="92">
        <f t="shared" si="3"/>
        <v>8786.797338921417</v>
      </c>
      <c r="D25" s="93">
        <f>11.73+32.82</f>
        <v>44.55</v>
      </c>
      <c r="E25" s="92">
        <f t="shared" si="4"/>
        <v>62.23919647928053</v>
      </c>
      <c r="F25" s="92">
        <f t="shared" si="1"/>
        <v>58.58487215183316</v>
      </c>
      <c r="G25" s="92">
        <f t="shared" si="5"/>
        <v>165.3740686311137</v>
      </c>
      <c r="H25" s="94">
        <v>1.807619</v>
      </c>
      <c r="I25" s="112">
        <f>Plan4!J25</f>
        <v>1.0302815391317497</v>
      </c>
      <c r="J25" s="106">
        <f t="shared" si="2"/>
        <v>8990.635889903439</v>
      </c>
      <c r="L25" s="106">
        <f t="shared" si="6"/>
        <v>693.3180639516496</v>
      </c>
    </row>
    <row r="26" spans="1:12" ht="10.5">
      <c r="A26" s="90">
        <f t="shared" si="0"/>
        <v>72</v>
      </c>
      <c r="B26" s="91">
        <f>B25+31</f>
        <v>34726</v>
      </c>
      <c r="C26" s="92">
        <f t="shared" si="3"/>
        <v>8990.635889903439</v>
      </c>
      <c r="D26" s="93">
        <f>11.73+32.82</f>
        <v>44.55</v>
      </c>
      <c r="E26" s="92">
        <f t="shared" si="4"/>
        <v>63.6830385454251</v>
      </c>
      <c r="F26" s="92">
        <f t="shared" si="1"/>
        <v>57.14103008568859</v>
      </c>
      <c r="G26" s="92">
        <f t="shared" si="5"/>
        <v>165.3740686311137</v>
      </c>
      <c r="H26" s="94">
        <v>1</v>
      </c>
      <c r="I26" s="112">
        <f>Plan4!J26</f>
        <v>1.0203590972486036</v>
      </c>
      <c r="J26" s="106">
        <f t="shared" si="2"/>
        <v>9109.994081767343</v>
      </c>
      <c r="L26" s="106">
        <f t="shared" si="6"/>
        <v>757.0011024970747</v>
      </c>
    </row>
    <row r="27" spans="1:12" ht="10.5">
      <c r="A27" s="90"/>
      <c r="B27" s="113" t="s">
        <v>41</v>
      </c>
      <c r="C27" s="103"/>
      <c r="D27" s="114"/>
      <c r="E27" s="92"/>
      <c r="F27" s="92"/>
      <c r="G27" s="92"/>
      <c r="H27" s="103"/>
      <c r="J27" s="103">
        <f>J26+L26</f>
        <v>9866.995184264419</v>
      </c>
      <c r="L27" s="92"/>
    </row>
    <row r="28" spans="1:12" ht="10.5">
      <c r="A28" s="90">
        <f>A26+1</f>
        <v>73</v>
      </c>
      <c r="B28" s="91">
        <f>B26+31</f>
        <v>34757</v>
      </c>
      <c r="C28" s="92">
        <f>J27</f>
        <v>9866.995184264419</v>
      </c>
      <c r="D28" s="93">
        <f aca="true" t="shared" si="7" ref="D28:D37">11.73+32.82</f>
        <v>44.55</v>
      </c>
      <c r="E28" s="92">
        <f aca="true" t="shared" si="8" ref="E28:E39">J27*0.007083263</f>
        <v>69.89052190987834</v>
      </c>
      <c r="F28" s="92">
        <f aca="true" t="shared" si="9" ref="F28:F39">G28-D28-E28</f>
        <v>50.933546721235345</v>
      </c>
      <c r="G28" s="92">
        <f>G26*H28</f>
        <v>165.3740686311137</v>
      </c>
      <c r="H28" s="94">
        <v>1</v>
      </c>
      <c r="I28" s="112">
        <f>Plan4!J27</f>
        <v>1.021603160922872</v>
      </c>
      <c r="J28" s="106">
        <f aca="true" t="shared" si="10" ref="J28:J39">J27*I28-E28</f>
        <v>10010.262947145407</v>
      </c>
      <c r="L28" s="92">
        <f aca="true" t="shared" si="11" ref="L28:L39">(J27*0.007083263)+L27</f>
        <v>69.89052190987834</v>
      </c>
    </row>
    <row r="29" spans="1:12" ht="10.5">
      <c r="A29" s="90">
        <f aca="true" t="shared" si="12" ref="A29:A39">A28+1</f>
        <v>74</v>
      </c>
      <c r="B29" s="91">
        <f>B28+28</f>
        <v>34785</v>
      </c>
      <c r="C29" s="92">
        <f aca="true" t="shared" si="13" ref="C29:C39">J28</f>
        <v>10010.262947145407</v>
      </c>
      <c r="D29" s="93">
        <f t="shared" si="7"/>
        <v>44.55</v>
      </c>
      <c r="E29" s="92">
        <f t="shared" si="8"/>
        <v>70.90532515378602</v>
      </c>
      <c r="F29" s="92">
        <f t="shared" si="9"/>
        <v>49.918743477327666</v>
      </c>
      <c r="G29" s="92">
        <f aca="true" t="shared" si="14" ref="G29:G59">G28*H29</f>
        <v>165.3740686311137</v>
      </c>
      <c r="H29" s="94">
        <v>1</v>
      </c>
      <c r="I29" s="112">
        <f>Plan4!J28</f>
        <v>1.012509909650886</v>
      </c>
      <c r="J29" s="106">
        <f t="shared" si="10"/>
        <v>10064.585107042023</v>
      </c>
      <c r="L29" s="92">
        <f t="shared" si="11"/>
        <v>140.79584706366438</v>
      </c>
    </row>
    <row r="30" spans="1:12" ht="10.5">
      <c r="A30" s="90">
        <f t="shared" si="12"/>
        <v>75</v>
      </c>
      <c r="B30" s="91">
        <f>B29+31</f>
        <v>34816</v>
      </c>
      <c r="C30" s="92">
        <f t="shared" si="13"/>
        <v>10064.585107042023</v>
      </c>
      <c r="D30" s="93">
        <f t="shared" si="7"/>
        <v>44.55</v>
      </c>
      <c r="E30" s="92">
        <f t="shared" si="8"/>
        <v>71.2901032990618</v>
      </c>
      <c r="F30" s="92">
        <f t="shared" si="9"/>
        <v>49.53396533205189</v>
      </c>
      <c r="G30" s="92">
        <f t="shared" si="14"/>
        <v>165.3740686311137</v>
      </c>
      <c r="H30" s="94">
        <v>1</v>
      </c>
      <c r="I30" s="112">
        <f>Plan4!J29</f>
        <v>1.0399036016531362</v>
      </c>
      <c r="J30" s="106">
        <f t="shared" si="10"/>
        <v>10394.908198658453</v>
      </c>
      <c r="L30" s="92">
        <f t="shared" si="11"/>
        <v>212.08595036272618</v>
      </c>
    </row>
    <row r="31" spans="1:12" ht="10.5">
      <c r="A31" s="90">
        <f t="shared" si="12"/>
        <v>76</v>
      </c>
      <c r="B31" s="91">
        <f>B30+30</f>
        <v>34846</v>
      </c>
      <c r="C31" s="92">
        <f t="shared" si="13"/>
        <v>10394.908198658453</v>
      </c>
      <c r="D31" s="93">
        <f t="shared" si="7"/>
        <v>44.55</v>
      </c>
      <c r="E31" s="92">
        <f t="shared" si="8"/>
        <v>73.62986863195407</v>
      </c>
      <c r="F31" s="92">
        <f t="shared" si="9"/>
        <v>47.19419999915962</v>
      </c>
      <c r="G31" s="92">
        <f t="shared" si="14"/>
        <v>165.3740686311137</v>
      </c>
      <c r="H31" s="94">
        <v>1</v>
      </c>
      <c r="I31" s="112">
        <f>Plan4!J30</f>
        <v>1.0292094649109955</v>
      </c>
      <c r="J31" s="106">
        <f t="shared" si="10"/>
        <v>10624.908036308234</v>
      </c>
      <c r="L31" s="92">
        <f t="shared" si="11"/>
        <v>285.71581899468026</v>
      </c>
    </row>
    <row r="32" spans="1:12" ht="10.5">
      <c r="A32" s="90">
        <f t="shared" si="12"/>
        <v>77</v>
      </c>
      <c r="B32" s="91">
        <f>B31+31</f>
        <v>34877</v>
      </c>
      <c r="C32" s="92">
        <f t="shared" si="13"/>
        <v>10624.908036308234</v>
      </c>
      <c r="D32" s="93">
        <f t="shared" si="7"/>
        <v>44.55</v>
      </c>
      <c r="E32" s="92">
        <f t="shared" si="8"/>
        <v>75.25901797198478</v>
      </c>
      <c r="F32" s="92">
        <f t="shared" si="9"/>
        <v>45.565050659128914</v>
      </c>
      <c r="G32" s="92">
        <f t="shared" si="14"/>
        <v>165.3740686311137</v>
      </c>
      <c r="H32" s="94">
        <v>1</v>
      </c>
      <c r="I32" s="112">
        <f>Plan4!J31</f>
        <v>1.0259945640853378</v>
      </c>
      <c r="J32" s="106">
        <f t="shared" si="10"/>
        <v>10825.838871186885</v>
      </c>
      <c r="L32" s="92">
        <f t="shared" si="11"/>
        <v>360.97483696666507</v>
      </c>
    </row>
    <row r="33" spans="1:12" ht="10.5">
      <c r="A33" s="90">
        <f t="shared" si="12"/>
        <v>78</v>
      </c>
      <c r="B33" s="91">
        <f>B32+30</f>
        <v>34907</v>
      </c>
      <c r="C33" s="92">
        <f t="shared" si="13"/>
        <v>10825.838871186885</v>
      </c>
      <c r="D33" s="93">
        <f t="shared" si="7"/>
        <v>44.55</v>
      </c>
      <c r="E33" s="92">
        <f t="shared" si="8"/>
        <v>76.68226392023983</v>
      </c>
      <c r="F33" s="92">
        <f t="shared" si="9"/>
        <v>44.141804710873856</v>
      </c>
      <c r="G33" s="92">
        <f t="shared" si="14"/>
        <v>165.3740686311137</v>
      </c>
      <c r="H33" s="94">
        <v>1</v>
      </c>
      <c r="I33" s="112">
        <f>Plan4!J32</f>
        <v>1.0297521336048336</v>
      </c>
      <c r="J33" s="106">
        <f t="shared" si="10"/>
        <v>11071.248411746597</v>
      </c>
      <c r="L33" s="92">
        <f t="shared" si="11"/>
        <v>437.6571008869049</v>
      </c>
    </row>
    <row r="34" spans="1:12" ht="10.5">
      <c r="A34" s="90">
        <f t="shared" si="12"/>
        <v>79</v>
      </c>
      <c r="B34" s="91">
        <f>B33+31</f>
        <v>34938</v>
      </c>
      <c r="C34" s="92">
        <f t="shared" si="13"/>
        <v>11071.248411746597</v>
      </c>
      <c r="D34" s="93">
        <f t="shared" si="7"/>
        <v>44.55</v>
      </c>
      <c r="E34" s="92">
        <f t="shared" si="8"/>
        <v>78.42056423873345</v>
      </c>
      <c r="F34" s="92">
        <f t="shared" si="9"/>
        <v>42.40350439238024</v>
      </c>
      <c r="G34" s="92">
        <f t="shared" si="14"/>
        <v>165.3740686311137</v>
      </c>
      <c r="H34" s="94">
        <v>1</v>
      </c>
      <c r="I34" s="112">
        <f>Plan4!J33</f>
        <v>1.0260192748967416</v>
      </c>
      <c r="J34" s="106">
        <f t="shared" si="10"/>
        <v>11280.893703383214</v>
      </c>
      <c r="L34" s="92">
        <f t="shared" si="11"/>
        <v>516.0776651256383</v>
      </c>
    </row>
    <row r="35" spans="1:12" ht="10.5">
      <c r="A35" s="90">
        <f t="shared" si="12"/>
        <v>80</v>
      </c>
      <c r="B35" s="91">
        <f>B34+31</f>
        <v>34969</v>
      </c>
      <c r="C35" s="92">
        <f t="shared" si="13"/>
        <v>11280.893703383214</v>
      </c>
      <c r="D35" s="93">
        <f t="shared" si="7"/>
        <v>44.55</v>
      </c>
      <c r="E35" s="92">
        <f t="shared" si="8"/>
        <v>79.9055369761073</v>
      </c>
      <c r="F35" s="92">
        <f t="shared" si="9"/>
        <v>40.91853165500639</v>
      </c>
      <c r="G35" s="92">
        <f t="shared" si="14"/>
        <v>165.3740686311137</v>
      </c>
      <c r="H35" s="94">
        <v>1</v>
      </c>
      <c r="I35" s="112">
        <f>Plan4!J34</f>
        <v>1.0209159026987569</v>
      </c>
      <c r="J35" s="106">
        <f t="shared" si="10"/>
        <v>11436.938241462089</v>
      </c>
      <c r="L35" s="92">
        <f t="shared" si="11"/>
        <v>595.9832021017456</v>
      </c>
    </row>
    <row r="36" spans="1:12" ht="10.5">
      <c r="A36" s="90">
        <f t="shared" si="12"/>
        <v>81</v>
      </c>
      <c r="B36" s="91">
        <f>B35+30</f>
        <v>34999</v>
      </c>
      <c r="C36" s="92">
        <f t="shared" si="13"/>
        <v>11436.938241462089</v>
      </c>
      <c r="D36" s="93">
        <f t="shared" si="7"/>
        <v>44.55</v>
      </c>
      <c r="E36" s="92">
        <f t="shared" si="8"/>
        <v>81.01084147903349</v>
      </c>
      <c r="F36" s="92">
        <f t="shared" si="9"/>
        <v>39.8132271520802</v>
      </c>
      <c r="G36" s="92">
        <f t="shared" si="14"/>
        <v>165.3740686311137</v>
      </c>
      <c r="H36" s="94">
        <v>1</v>
      </c>
      <c r="I36" s="112">
        <f>Plan4!J35</f>
        <v>1.0166220831440635</v>
      </c>
      <c r="J36" s="106">
        <f t="shared" si="10"/>
        <v>11546.033138346158</v>
      </c>
      <c r="L36" s="92">
        <f t="shared" si="11"/>
        <v>676.9940435807791</v>
      </c>
    </row>
    <row r="37" spans="1:12" ht="10.5">
      <c r="A37" s="90">
        <f t="shared" si="12"/>
        <v>82</v>
      </c>
      <c r="B37" s="91">
        <f>B36+31</f>
        <v>35030</v>
      </c>
      <c r="C37" s="92">
        <f t="shared" si="13"/>
        <v>11546.033138346158</v>
      </c>
      <c r="D37" s="93">
        <f t="shared" si="7"/>
        <v>44.55</v>
      </c>
      <c r="E37" s="92">
        <f t="shared" si="8"/>
        <v>81.78358932562122</v>
      </c>
      <c r="F37" s="92">
        <f t="shared" si="9"/>
        <v>39.04047930549247</v>
      </c>
      <c r="G37" s="92">
        <f t="shared" si="14"/>
        <v>165.3740686311137</v>
      </c>
      <c r="H37" s="94">
        <v>1</v>
      </c>
      <c r="I37" s="112">
        <f>Plan4!J36</f>
        <v>1.012766437188674</v>
      </c>
      <c r="J37" s="106">
        <f t="shared" si="10"/>
        <v>11611.65125585958</v>
      </c>
      <c r="L37" s="92">
        <f t="shared" si="11"/>
        <v>758.7776329064004</v>
      </c>
    </row>
    <row r="38" spans="1:12" ht="10.5">
      <c r="A38" s="90">
        <f t="shared" si="12"/>
        <v>83</v>
      </c>
      <c r="B38" s="91">
        <f>B37+30</f>
        <v>35060</v>
      </c>
      <c r="C38" s="92">
        <f t="shared" si="13"/>
        <v>11611.65125585958</v>
      </c>
      <c r="D38" s="93">
        <f>15.32+42.87</f>
        <v>58.19</v>
      </c>
      <c r="E38" s="92">
        <f t="shared" si="8"/>
        <v>82.24837970953371</v>
      </c>
      <c r="F38" s="92">
        <f t="shared" si="9"/>
        <v>75.6067996723591</v>
      </c>
      <c r="G38" s="92">
        <f t="shared" si="14"/>
        <v>216.0451793818928</v>
      </c>
      <c r="H38" s="94">
        <v>1.306403</v>
      </c>
      <c r="I38" s="112">
        <f>Plan4!J37</f>
        <v>1.0129701023821074</v>
      </c>
      <c r="J38" s="106">
        <f t="shared" si="10"/>
        <v>11680.00718176387</v>
      </c>
      <c r="L38" s="92">
        <f t="shared" si="11"/>
        <v>841.0260126159342</v>
      </c>
    </row>
    <row r="39" spans="1:12" ht="10.5">
      <c r="A39" s="90">
        <f t="shared" si="12"/>
        <v>84</v>
      </c>
      <c r="B39" s="91">
        <f>B38+31</f>
        <v>35091</v>
      </c>
      <c r="C39" s="92">
        <f t="shared" si="13"/>
        <v>11680.00718176387</v>
      </c>
      <c r="D39" s="93">
        <f>15.32+42.87</f>
        <v>58.19</v>
      </c>
      <c r="E39" s="92">
        <f t="shared" si="8"/>
        <v>82.7325627103223</v>
      </c>
      <c r="F39" s="92">
        <f t="shared" si="9"/>
        <v>75.12261667157051</v>
      </c>
      <c r="G39" s="92">
        <f t="shared" si="14"/>
        <v>216.0451793818928</v>
      </c>
      <c r="H39" s="94">
        <v>1</v>
      </c>
      <c r="I39" s="112">
        <f>Plan4!J38</f>
        <v>1.0098668346985926</v>
      </c>
      <c r="J39" s="106">
        <f t="shared" si="10"/>
        <v>11712.519319194387</v>
      </c>
      <c r="L39" s="92">
        <f t="shared" si="11"/>
        <v>923.7585753262565</v>
      </c>
    </row>
    <row r="40" spans="1:12" ht="10.5">
      <c r="A40" s="90"/>
      <c r="B40" s="113" t="s">
        <v>41</v>
      </c>
      <c r="C40" s="103"/>
      <c r="D40" s="114"/>
      <c r="E40" s="92"/>
      <c r="F40" s="92"/>
      <c r="G40" s="92"/>
      <c r="H40" s="103"/>
      <c r="J40" s="103">
        <f>J39+L39</f>
        <v>12636.277894520645</v>
      </c>
      <c r="L40" s="92"/>
    </row>
    <row r="41" spans="1:12" ht="10.5">
      <c r="A41" s="90">
        <f>A39+1</f>
        <v>85</v>
      </c>
      <c r="B41" s="91">
        <f>B39+31</f>
        <v>35122</v>
      </c>
      <c r="C41" s="92">
        <f>J40</f>
        <v>12636.277894520645</v>
      </c>
      <c r="D41" s="93">
        <f aca="true" t="shared" si="15" ref="D41:D50">15.32+42.87</f>
        <v>58.19</v>
      </c>
      <c r="E41" s="92">
        <f aca="true" t="shared" si="16" ref="E41:E52">J40*0.007083263</f>
        <v>89.50607966797598</v>
      </c>
      <c r="F41" s="92">
        <f aca="true" t="shared" si="17" ref="F41:F52">G41-D41-E41</f>
        <v>68.34909971391683</v>
      </c>
      <c r="G41" s="92">
        <f>G39*H41</f>
        <v>216.0451793818928</v>
      </c>
      <c r="H41" s="94">
        <v>1</v>
      </c>
      <c r="I41" s="112">
        <f>Plan4!J39</f>
        <v>1.008643</v>
      </c>
      <c r="J41" s="106">
        <f aca="true" t="shared" si="18" ref="J41:J52">J40*I41-E41</f>
        <v>12655.98716469501</v>
      </c>
      <c r="L41" s="92">
        <f aca="true" t="shared" si="19" ref="L41:L52">(J40*0.007083263)+L40</f>
        <v>89.50607966797598</v>
      </c>
    </row>
    <row r="42" spans="1:12" ht="10.5">
      <c r="A42" s="90">
        <f aca="true" t="shared" si="20" ref="A42:A52">A41+1</f>
        <v>86</v>
      </c>
      <c r="B42" s="91">
        <f>B41+29</f>
        <v>35151</v>
      </c>
      <c r="C42" s="92">
        <f>J41</f>
        <v>12655.98716469501</v>
      </c>
      <c r="D42" s="93">
        <f t="shared" si="15"/>
        <v>58.19</v>
      </c>
      <c r="E42" s="92">
        <f t="shared" si="16"/>
        <v>89.64568561215907</v>
      </c>
      <c r="F42" s="92">
        <f t="shared" si="17"/>
        <v>68.20949376973374</v>
      </c>
      <c r="G42" s="92">
        <f t="shared" si="14"/>
        <v>216.0451793818928</v>
      </c>
      <c r="H42" s="94">
        <v>1</v>
      </c>
      <c r="I42" s="112">
        <f>Plan4!J40</f>
        <v>1.008245</v>
      </c>
      <c r="J42" s="106">
        <f t="shared" si="18"/>
        <v>12670.690093255764</v>
      </c>
      <c r="L42" s="92">
        <f t="shared" si="19"/>
        <v>179.15176528013507</v>
      </c>
    </row>
    <row r="43" spans="1:12" ht="10.5">
      <c r="A43" s="90">
        <f t="shared" si="20"/>
        <v>87</v>
      </c>
      <c r="B43" s="91">
        <f>B42+31</f>
        <v>35182</v>
      </c>
      <c r="C43" s="92">
        <f aca="true" t="shared" si="21" ref="C43:C52">J42</f>
        <v>12670.690093255764</v>
      </c>
      <c r="D43" s="93">
        <f t="shared" si="15"/>
        <v>58.19</v>
      </c>
      <c r="E43" s="92">
        <f t="shared" si="16"/>
        <v>89.7498303220251</v>
      </c>
      <c r="F43" s="92">
        <f t="shared" si="17"/>
        <v>68.1053490598677</v>
      </c>
      <c r="G43" s="92">
        <f t="shared" si="14"/>
        <v>216.0451793818928</v>
      </c>
      <c r="H43" s="94">
        <v>1</v>
      </c>
      <c r="I43" s="112">
        <f>Plan4!J41</f>
        <v>1.004186</v>
      </c>
      <c r="J43" s="106">
        <f t="shared" si="18"/>
        <v>12633.979771664108</v>
      </c>
      <c r="L43" s="92">
        <f t="shared" si="19"/>
        <v>268.90159560216017</v>
      </c>
    </row>
    <row r="44" spans="1:12" ht="10.5">
      <c r="A44" s="90">
        <f t="shared" si="20"/>
        <v>88</v>
      </c>
      <c r="B44" s="91">
        <f>B43+30</f>
        <v>35212</v>
      </c>
      <c r="C44" s="92">
        <f t="shared" si="21"/>
        <v>12633.979771664108</v>
      </c>
      <c r="D44" s="93">
        <f t="shared" si="15"/>
        <v>58.19</v>
      </c>
      <c r="E44" s="92">
        <f t="shared" si="16"/>
        <v>89.48980145937682</v>
      </c>
      <c r="F44" s="92">
        <f t="shared" si="17"/>
        <v>68.36537792251599</v>
      </c>
      <c r="G44" s="92">
        <f t="shared" si="14"/>
        <v>216.0451793818928</v>
      </c>
      <c r="H44" s="94">
        <v>1</v>
      </c>
      <c r="I44" s="112">
        <f>Plan4!J42</f>
        <v>1.007243</v>
      </c>
      <c r="J44" s="106">
        <f t="shared" si="18"/>
        <v>12635.997885690897</v>
      </c>
      <c r="L44" s="92">
        <f t="shared" si="19"/>
        <v>358.39139706153696</v>
      </c>
    </row>
    <row r="45" spans="1:12" ht="10.5">
      <c r="A45" s="90">
        <f t="shared" si="20"/>
        <v>89</v>
      </c>
      <c r="B45" s="91">
        <f>B44+31</f>
        <v>35243</v>
      </c>
      <c r="C45" s="92">
        <f t="shared" si="21"/>
        <v>12635.997885690897</v>
      </c>
      <c r="D45" s="93">
        <f t="shared" si="15"/>
        <v>58.19</v>
      </c>
      <c r="E45" s="92">
        <f t="shared" si="16"/>
        <v>89.50409629179256</v>
      </c>
      <c r="F45" s="92">
        <f t="shared" si="17"/>
        <v>68.35108309010025</v>
      </c>
      <c r="G45" s="92">
        <f t="shared" si="14"/>
        <v>216.0451793818928</v>
      </c>
      <c r="H45" s="94">
        <v>1</v>
      </c>
      <c r="I45" s="112">
        <f>Plan4!J43</f>
        <v>1.004851</v>
      </c>
      <c r="J45" s="106">
        <f t="shared" si="18"/>
        <v>12607.79101514259</v>
      </c>
      <c r="L45" s="92">
        <f t="shared" si="19"/>
        <v>447.8954933533295</v>
      </c>
    </row>
    <row r="46" spans="1:12" ht="10.5">
      <c r="A46" s="90">
        <f t="shared" si="20"/>
        <v>90</v>
      </c>
      <c r="B46" s="91">
        <f>B45+30</f>
        <v>35273</v>
      </c>
      <c r="C46" s="92">
        <f t="shared" si="21"/>
        <v>12607.79101514259</v>
      </c>
      <c r="D46" s="93">
        <f t="shared" si="15"/>
        <v>58.19</v>
      </c>
      <c r="E46" s="92">
        <f t="shared" si="16"/>
        <v>89.30429960929195</v>
      </c>
      <c r="F46" s="92">
        <f t="shared" si="17"/>
        <v>68.55087977260087</v>
      </c>
      <c r="G46" s="92">
        <f t="shared" si="14"/>
        <v>216.0451793818928</v>
      </c>
      <c r="H46" s="94">
        <v>1</v>
      </c>
      <c r="I46" s="112">
        <f>Plan4!J44</f>
        <v>1.004355</v>
      </c>
      <c r="J46" s="106">
        <f t="shared" si="18"/>
        <v>12573.393645404245</v>
      </c>
      <c r="L46" s="92">
        <f t="shared" si="19"/>
        <v>537.1997929626215</v>
      </c>
    </row>
    <row r="47" spans="1:12" ht="10.5">
      <c r="A47" s="90">
        <f t="shared" si="20"/>
        <v>91</v>
      </c>
      <c r="B47" s="91">
        <f>B46+31</f>
        <v>35304</v>
      </c>
      <c r="C47" s="92">
        <f t="shared" si="21"/>
        <v>12573.393645404245</v>
      </c>
      <c r="D47" s="93">
        <f t="shared" si="15"/>
        <v>58.19</v>
      </c>
      <c r="E47" s="92">
        <f t="shared" si="16"/>
        <v>89.06065399292702</v>
      </c>
      <c r="F47" s="92">
        <f t="shared" si="17"/>
        <v>68.7945253889658</v>
      </c>
      <c r="G47" s="92">
        <f t="shared" si="14"/>
        <v>216.0451793818928</v>
      </c>
      <c r="H47" s="94">
        <v>1</v>
      </c>
      <c r="I47" s="112">
        <f>Plan4!J45</f>
        <v>1.007683</v>
      </c>
      <c r="J47" s="106">
        <f t="shared" si="18"/>
        <v>12580.93437478896</v>
      </c>
      <c r="L47" s="92">
        <f t="shared" si="19"/>
        <v>626.2604469555484</v>
      </c>
    </row>
    <row r="48" spans="1:12" ht="10.5">
      <c r="A48" s="90">
        <f t="shared" si="20"/>
        <v>92</v>
      </c>
      <c r="B48" s="91">
        <f>B47+31</f>
        <v>35335</v>
      </c>
      <c r="C48" s="92">
        <f t="shared" si="21"/>
        <v>12580.93437478896</v>
      </c>
      <c r="D48" s="93">
        <f t="shared" si="15"/>
        <v>58.19</v>
      </c>
      <c r="E48" s="92">
        <f t="shared" si="16"/>
        <v>89.11406696237077</v>
      </c>
      <c r="F48" s="92">
        <f t="shared" si="17"/>
        <v>68.74111241952204</v>
      </c>
      <c r="G48" s="92">
        <f t="shared" si="14"/>
        <v>216.0451793818928</v>
      </c>
      <c r="H48" s="94">
        <v>1</v>
      </c>
      <c r="I48" s="112">
        <f>Plan4!J46</f>
        <v>1.005443</v>
      </c>
      <c r="J48" s="106">
        <f t="shared" si="18"/>
        <v>12560.298333628567</v>
      </c>
      <c r="L48" s="92">
        <f t="shared" si="19"/>
        <v>715.3745139179192</v>
      </c>
    </row>
    <row r="49" spans="1:12" ht="10.5">
      <c r="A49" s="90">
        <f t="shared" si="20"/>
        <v>93</v>
      </c>
      <c r="B49" s="91">
        <f>B48+30</f>
        <v>35365</v>
      </c>
      <c r="C49" s="92">
        <f t="shared" si="21"/>
        <v>12560.298333628567</v>
      </c>
      <c r="D49" s="93">
        <f t="shared" si="15"/>
        <v>58.19</v>
      </c>
      <c r="E49" s="92">
        <f t="shared" si="16"/>
        <v>88.96789645555289</v>
      </c>
      <c r="F49" s="92">
        <f t="shared" si="17"/>
        <v>68.88728292633992</v>
      </c>
      <c r="G49" s="92">
        <f t="shared" si="14"/>
        <v>216.0451793818928</v>
      </c>
      <c r="H49" s="94">
        <v>1</v>
      </c>
      <c r="I49" s="112">
        <f>Plan4!J47</f>
        <v>1.007248</v>
      </c>
      <c r="J49" s="106">
        <f t="shared" si="18"/>
        <v>12562.367479495153</v>
      </c>
      <c r="L49" s="92">
        <f t="shared" si="19"/>
        <v>804.3424103734721</v>
      </c>
    </row>
    <row r="50" spans="1:12" ht="10.5">
      <c r="A50" s="90">
        <f t="shared" si="20"/>
        <v>94</v>
      </c>
      <c r="B50" s="91">
        <f>B49+31</f>
        <v>35396</v>
      </c>
      <c r="C50" s="92">
        <f t="shared" si="21"/>
        <v>12562.367479495153</v>
      </c>
      <c r="D50" s="93">
        <f t="shared" si="15"/>
        <v>58.19</v>
      </c>
      <c r="E50" s="92">
        <f t="shared" si="16"/>
        <v>88.98255275991129</v>
      </c>
      <c r="F50" s="92">
        <f t="shared" si="17"/>
        <v>68.87262662198152</v>
      </c>
      <c r="G50" s="92">
        <f t="shared" si="14"/>
        <v>216.0451793818928</v>
      </c>
      <c r="H50" s="94">
        <v>1</v>
      </c>
      <c r="I50" s="112">
        <f>Plan4!J48</f>
        <v>1.007922</v>
      </c>
      <c r="J50" s="106">
        <f t="shared" si="18"/>
        <v>12572.904001907802</v>
      </c>
      <c r="L50" s="92">
        <f t="shared" si="19"/>
        <v>893.3249631333834</v>
      </c>
    </row>
    <row r="51" spans="1:12" ht="10.5">
      <c r="A51" s="90">
        <f t="shared" si="20"/>
        <v>95</v>
      </c>
      <c r="B51" s="91">
        <f>B50+30</f>
        <v>35426</v>
      </c>
      <c r="C51" s="92">
        <f t="shared" si="21"/>
        <v>12572.904001907802</v>
      </c>
      <c r="D51" s="93">
        <f>16.97+58.03</f>
        <v>75</v>
      </c>
      <c r="E51" s="92">
        <f t="shared" si="16"/>
        <v>89.05718571926546</v>
      </c>
      <c r="F51" s="92">
        <f t="shared" si="17"/>
        <v>126.1995127803075</v>
      </c>
      <c r="G51" s="92">
        <f t="shared" si="14"/>
        <v>290.25669849957296</v>
      </c>
      <c r="H51" s="94">
        <v>1.3435</v>
      </c>
      <c r="I51" s="112">
        <f>Plan4!J49</f>
        <v>1.007909</v>
      </c>
      <c r="J51" s="106">
        <f t="shared" si="18"/>
        <v>12583.285913939624</v>
      </c>
      <c r="L51" s="92">
        <f t="shared" si="19"/>
        <v>982.3821488526489</v>
      </c>
    </row>
    <row r="52" spans="1:12" ht="10.5">
      <c r="A52" s="90">
        <f t="shared" si="20"/>
        <v>96</v>
      </c>
      <c r="B52" s="91">
        <f>B51+31</f>
        <v>35457</v>
      </c>
      <c r="C52" s="92">
        <f t="shared" si="21"/>
        <v>12583.285913939624</v>
      </c>
      <c r="D52" s="93">
        <f>16.97+58.03</f>
        <v>75</v>
      </c>
      <c r="E52" s="92">
        <f t="shared" si="16"/>
        <v>89.13072353262973</v>
      </c>
      <c r="F52" s="92">
        <f t="shared" si="17"/>
        <v>126.12597496694323</v>
      </c>
      <c r="G52" s="92">
        <f t="shared" si="14"/>
        <v>290.25669849957296</v>
      </c>
      <c r="H52" s="94">
        <v>1</v>
      </c>
      <c r="I52" s="112">
        <f>Plan4!J50</f>
        <v>1.007975</v>
      </c>
      <c r="J52" s="106">
        <f t="shared" si="18"/>
        <v>12594.506895570665</v>
      </c>
      <c r="L52" s="92">
        <f t="shared" si="19"/>
        <v>1071.5128723852786</v>
      </c>
    </row>
    <row r="53" spans="1:12" ht="10.5">
      <c r="A53" s="90"/>
      <c r="B53" s="113" t="s">
        <v>41</v>
      </c>
      <c r="C53" s="103"/>
      <c r="D53" s="114"/>
      <c r="E53" s="92"/>
      <c r="F53" s="92"/>
      <c r="G53" s="92"/>
      <c r="H53" s="103"/>
      <c r="J53" s="103">
        <f>J52+L52</f>
        <v>13666.019767955942</v>
      </c>
      <c r="L53" s="92"/>
    </row>
    <row r="54" spans="1:12" ht="10.5">
      <c r="A54" s="90">
        <f>A52+1</f>
        <v>97</v>
      </c>
      <c r="B54" s="91">
        <f>B52+31</f>
        <v>35488</v>
      </c>
      <c r="C54" s="92">
        <f aca="true" t="shared" si="22" ref="C54:C59">J53</f>
        <v>13666.019767955942</v>
      </c>
      <c r="D54" s="93">
        <f aca="true" t="shared" si="23" ref="D54:D59">16.97+58.03</f>
        <v>75</v>
      </c>
      <c r="E54" s="92">
        <f aca="true" t="shared" si="24" ref="E54:E59">J53*0.007083263</f>
        <v>96.80001217963091</v>
      </c>
      <c r="F54" s="92">
        <f aca="true" t="shared" si="25" ref="F54:F59">G54-D54-E54</f>
        <v>118.45668631994205</v>
      </c>
      <c r="G54" s="92">
        <f>G52*H54</f>
        <v>290.25669849957296</v>
      </c>
      <c r="H54" s="94">
        <v>1</v>
      </c>
      <c r="I54" s="112">
        <f>Plan4!J51</f>
        <v>1.0073</v>
      </c>
      <c r="J54" s="106">
        <f aca="true" t="shared" si="26" ref="J54:J59">J53*I54-E54</f>
        <v>13668.981700082391</v>
      </c>
      <c r="L54" s="92">
        <f aca="true" t="shared" si="27" ref="L54:L59">(J53*0.007083263)+L53</f>
        <v>96.80001217963091</v>
      </c>
    </row>
    <row r="55" spans="1:12" ht="10.5">
      <c r="A55" s="90">
        <f>A54+1</f>
        <v>98</v>
      </c>
      <c r="B55" s="91">
        <f>B54+28</f>
        <v>35516</v>
      </c>
      <c r="C55" s="92">
        <f t="shared" si="22"/>
        <v>13668.981700082391</v>
      </c>
      <c r="D55" s="93">
        <f t="shared" si="23"/>
        <v>75</v>
      </c>
      <c r="E55" s="92">
        <f t="shared" si="24"/>
        <v>96.8209923238707</v>
      </c>
      <c r="F55" s="92">
        <f t="shared" si="25"/>
        <v>118.43570617570226</v>
      </c>
      <c r="G55" s="92">
        <f t="shared" si="14"/>
        <v>290.25669849957296</v>
      </c>
      <c r="H55" s="94">
        <v>1</v>
      </c>
      <c r="I55" s="112">
        <f>Plan4!J52</f>
        <v>1.005202</v>
      </c>
      <c r="J55" s="106">
        <f t="shared" si="26"/>
        <v>13643.266750562349</v>
      </c>
      <c r="L55" s="92">
        <f t="shared" si="27"/>
        <v>193.6210045035016</v>
      </c>
    </row>
    <row r="56" spans="1:12" ht="10.5">
      <c r="A56" s="90">
        <f>A55+1</f>
        <v>99</v>
      </c>
      <c r="B56" s="91">
        <f>B55+31</f>
        <v>35547</v>
      </c>
      <c r="C56" s="92">
        <f t="shared" si="22"/>
        <v>13643.266750562349</v>
      </c>
      <c r="D56" s="93">
        <f t="shared" si="23"/>
        <v>75</v>
      </c>
      <c r="E56" s="92">
        <f t="shared" si="24"/>
        <v>96.63884657338852</v>
      </c>
      <c r="F56" s="92">
        <f t="shared" si="25"/>
        <v>118.61785192618444</v>
      </c>
      <c r="G56" s="92">
        <f t="shared" si="14"/>
        <v>290.25669849957296</v>
      </c>
      <c r="H56" s="94">
        <v>1</v>
      </c>
      <c r="I56" s="112">
        <f>Plan4!J53</f>
        <v>1.006082</v>
      </c>
      <c r="J56" s="106">
        <f t="shared" si="26"/>
        <v>13629.606252365878</v>
      </c>
      <c r="L56" s="92">
        <f t="shared" si="27"/>
        <v>290.25985107689013</v>
      </c>
    </row>
    <row r="57" spans="1:12" ht="10.5">
      <c r="A57" s="90">
        <f>A56+1</f>
        <v>100</v>
      </c>
      <c r="B57" s="91">
        <f>B56+30</f>
        <v>35577</v>
      </c>
      <c r="C57" s="92">
        <f t="shared" si="22"/>
        <v>13629.606252365878</v>
      </c>
      <c r="D57" s="93">
        <f t="shared" si="23"/>
        <v>75</v>
      </c>
      <c r="E57" s="92">
        <f t="shared" si="24"/>
        <v>96.5420856719519</v>
      </c>
      <c r="F57" s="92">
        <f t="shared" si="25"/>
        <v>118.71461282762107</v>
      </c>
      <c r="G57" s="92">
        <f t="shared" si="14"/>
        <v>290.25669849957296</v>
      </c>
      <c r="H57" s="94">
        <v>1</v>
      </c>
      <c r="I57" s="112">
        <f>Plan4!J54</f>
        <v>1.007075</v>
      </c>
      <c r="J57" s="106">
        <f t="shared" si="26"/>
        <v>13629.493630929413</v>
      </c>
      <c r="L57" s="92">
        <f t="shared" si="27"/>
        <v>386.801936748842</v>
      </c>
    </row>
    <row r="58" spans="1:12" ht="10.5">
      <c r="A58" s="90">
        <f>A57+1</f>
        <v>101</v>
      </c>
      <c r="B58" s="91">
        <f>B57+31</f>
        <v>35608</v>
      </c>
      <c r="C58" s="92">
        <f t="shared" si="22"/>
        <v>13629.493630929413</v>
      </c>
      <c r="D58" s="93">
        <f t="shared" si="23"/>
        <v>75</v>
      </c>
      <c r="E58" s="92">
        <f t="shared" si="24"/>
        <v>96.54128794469797</v>
      </c>
      <c r="F58" s="92">
        <f t="shared" si="25"/>
        <v>118.71541055487499</v>
      </c>
      <c r="G58" s="92">
        <f t="shared" si="14"/>
        <v>290.25669849957296</v>
      </c>
      <c r="H58" s="94">
        <v>1</v>
      </c>
      <c r="I58" s="112">
        <f>Plan4!J55</f>
        <v>0.977597586843098</v>
      </c>
      <c r="J58" s="106">
        <f t="shared" si="26"/>
        <v>13227.618795545271</v>
      </c>
      <c r="L58" s="92">
        <f t="shared" si="27"/>
        <v>483.34322469354</v>
      </c>
    </row>
    <row r="59" spans="1:12" ht="10.5">
      <c r="A59" s="90">
        <f>A58+1</f>
        <v>102</v>
      </c>
      <c r="B59" s="91">
        <f>B58+30</f>
        <v>35638</v>
      </c>
      <c r="C59" s="92">
        <f t="shared" si="22"/>
        <v>13227.618795545271</v>
      </c>
      <c r="D59" s="93">
        <f t="shared" si="23"/>
        <v>75</v>
      </c>
      <c r="E59" s="92">
        <f t="shared" si="24"/>
        <v>93.69470279259039</v>
      </c>
      <c r="F59" s="92">
        <f t="shared" si="25"/>
        <v>121.56199570698257</v>
      </c>
      <c r="G59" s="92">
        <f t="shared" si="14"/>
        <v>290.25669849957296</v>
      </c>
      <c r="H59" s="94">
        <v>1</v>
      </c>
      <c r="I59" s="112">
        <f>Plan4!J56</f>
        <v>1.2245204162505794</v>
      </c>
      <c r="J59" s="106">
        <f t="shared" si="26"/>
        <v>16103.794570732493</v>
      </c>
      <c r="L59" s="92">
        <f t="shared" si="27"/>
        <v>577.0379274861303</v>
      </c>
    </row>
    <row r="60" spans="1:12" ht="10.5">
      <c r="A60" s="63" t="s">
        <v>0</v>
      </c>
      <c r="I60" s="112"/>
      <c r="L60" s="65" t="s">
        <v>129</v>
      </c>
    </row>
    <row r="61" spans="1:12" ht="10.5">
      <c r="A61" s="63" t="s">
        <v>40</v>
      </c>
      <c r="I61" s="112"/>
      <c r="L61" s="65" t="s">
        <v>81</v>
      </c>
    </row>
    <row r="62" spans="1:10" ht="10.5">
      <c r="A62" s="63"/>
      <c r="I62" s="112"/>
      <c r="J62" s="65"/>
    </row>
    <row r="63" spans="1:10" ht="10.5">
      <c r="A63" s="60" t="s">
        <v>3</v>
      </c>
      <c r="C63" s="60" t="s">
        <v>188</v>
      </c>
      <c r="I63" s="112"/>
      <c r="J63" s="60"/>
    </row>
    <row r="64" spans="1:9" ht="10.5">
      <c r="A64" s="60" t="s">
        <v>4</v>
      </c>
      <c r="C64" s="60" t="s">
        <v>188</v>
      </c>
      <c r="I64" s="112"/>
    </row>
    <row r="65" spans="1:9" ht="10.5">
      <c r="A65" s="60"/>
      <c r="I65" s="112"/>
    </row>
    <row r="66" spans="1:9" ht="10.5">
      <c r="A66" s="60"/>
      <c r="B66" s="60" t="s">
        <v>73</v>
      </c>
      <c r="I66" s="112"/>
    </row>
    <row r="67" spans="1:9" ht="10.5">
      <c r="A67" s="60"/>
      <c r="B67" s="60" t="s">
        <v>84</v>
      </c>
      <c r="I67" s="112"/>
    </row>
    <row r="68" spans="4:9" ht="10.5">
      <c r="D68" s="60" t="s">
        <v>189</v>
      </c>
      <c r="I68" s="112"/>
    </row>
    <row r="69" ht="11.25" thickBot="1"/>
    <row r="70" spans="1:12" ht="12" thickBot="1" thickTop="1">
      <c r="A70" s="82" t="s">
        <v>66</v>
      </c>
      <c r="B70" s="82" t="s">
        <v>5</v>
      </c>
      <c r="C70" s="82" t="s">
        <v>85</v>
      </c>
      <c r="D70" s="83" t="s">
        <v>59</v>
      </c>
      <c r="E70" s="82" t="s">
        <v>103</v>
      </c>
      <c r="F70" s="82" t="s">
        <v>104</v>
      </c>
      <c r="G70" s="82" t="s">
        <v>26</v>
      </c>
      <c r="H70" s="82" t="s">
        <v>67</v>
      </c>
      <c r="I70" s="82" t="s">
        <v>132</v>
      </c>
      <c r="J70" s="82" t="s">
        <v>9</v>
      </c>
      <c r="L70" s="82" t="s">
        <v>8</v>
      </c>
    </row>
    <row r="71" spans="1:12" ht="11.25" thickTop="1">
      <c r="A71" s="84" t="s">
        <v>64</v>
      </c>
      <c r="B71" s="84"/>
      <c r="C71" s="84" t="s">
        <v>86</v>
      </c>
      <c r="D71" s="84"/>
      <c r="E71" s="84"/>
      <c r="F71" s="84"/>
      <c r="G71" s="84" t="s">
        <v>121</v>
      </c>
      <c r="H71" s="84" t="s">
        <v>124</v>
      </c>
      <c r="I71" s="84" t="s">
        <v>133</v>
      </c>
      <c r="J71" s="84"/>
      <c r="L71" s="84"/>
    </row>
    <row r="72" spans="1:12" ht="10.5">
      <c r="A72" s="84" t="s">
        <v>90</v>
      </c>
      <c r="B72" s="84"/>
      <c r="C72" s="84" t="s">
        <v>113</v>
      </c>
      <c r="D72" s="85" t="s">
        <v>60</v>
      </c>
      <c r="E72" s="84"/>
      <c r="F72" s="84"/>
      <c r="G72" s="84" t="s">
        <v>27</v>
      </c>
      <c r="H72" s="84" t="s">
        <v>116</v>
      </c>
      <c r="I72" s="84" t="s">
        <v>85</v>
      </c>
      <c r="J72" s="84" t="s">
        <v>8</v>
      </c>
      <c r="L72" s="84" t="s">
        <v>131</v>
      </c>
    </row>
    <row r="73" spans="1:12" ht="10.5">
      <c r="A73" s="84"/>
      <c r="B73" s="84"/>
      <c r="C73" s="84"/>
      <c r="D73" s="111"/>
      <c r="E73" s="84"/>
      <c r="F73" s="84"/>
      <c r="G73" s="84" t="s">
        <v>122</v>
      </c>
      <c r="H73" s="84"/>
      <c r="I73" s="84" t="s">
        <v>86</v>
      </c>
      <c r="J73" s="84" t="s">
        <v>134</v>
      </c>
      <c r="L73" s="84" t="s">
        <v>130</v>
      </c>
    </row>
    <row r="74" spans="1:12" ht="10.5">
      <c r="A74" s="84"/>
      <c r="B74" s="84"/>
      <c r="C74" s="84"/>
      <c r="D74" s="111"/>
      <c r="E74" s="84"/>
      <c r="F74" s="84"/>
      <c r="G74" s="84" t="s">
        <v>123</v>
      </c>
      <c r="H74" s="84"/>
      <c r="I74" s="84"/>
      <c r="J74" s="84"/>
      <c r="L74" s="84"/>
    </row>
    <row r="75" spans="1:12" ht="11.25" thickBot="1">
      <c r="A75" s="86"/>
      <c r="B75" s="86"/>
      <c r="C75" s="86" t="s">
        <v>11</v>
      </c>
      <c r="D75" s="87"/>
      <c r="E75" s="86" t="s">
        <v>11</v>
      </c>
      <c r="F75" s="86" t="s">
        <v>11</v>
      </c>
      <c r="G75" s="86" t="s">
        <v>11</v>
      </c>
      <c r="H75" s="86"/>
      <c r="I75" s="86"/>
      <c r="J75" s="86" t="s">
        <v>11</v>
      </c>
      <c r="L75" s="86">
        <f>Plan1!F98</f>
        <v>0</v>
      </c>
    </row>
    <row r="76" spans="1:12" ht="11.25" thickTop="1">
      <c r="A76" s="90">
        <f>A59+1</f>
        <v>103</v>
      </c>
      <c r="B76" s="91">
        <f>B59+31</f>
        <v>35669</v>
      </c>
      <c r="C76" s="92">
        <f>J59</f>
        <v>16103.794570732493</v>
      </c>
      <c r="D76" s="93">
        <f>16.97+58.03</f>
        <v>75</v>
      </c>
      <c r="E76" s="92">
        <f>J59*0.007083263</f>
        <v>114.06741224247035</v>
      </c>
      <c r="F76" s="92">
        <f aca="true" t="shared" si="28" ref="F76:F81">G76-D76-E76</f>
        <v>101.18928625710261</v>
      </c>
      <c r="G76" s="92">
        <f>G59*H76</f>
        <v>290.25669849957296</v>
      </c>
      <c r="H76" s="94">
        <v>1</v>
      </c>
      <c r="I76" s="112">
        <f>Plan4!J74</f>
        <v>1.00352788080066</v>
      </c>
      <c r="J76" s="106">
        <f>J59*I76-E76</f>
        <v>16046.539426173884</v>
      </c>
      <c r="L76" s="92">
        <f>(J59*0.007083263)+L59</f>
        <v>691.1053397286007</v>
      </c>
    </row>
    <row r="77" spans="1:12" ht="10.5">
      <c r="A77" s="90">
        <f>A76+1</f>
        <v>104</v>
      </c>
      <c r="B77" s="91">
        <f>B76+31</f>
        <v>35700</v>
      </c>
      <c r="C77" s="92">
        <f>J76</f>
        <v>16046.539426173884</v>
      </c>
      <c r="D77" s="93">
        <f>16.97+58.03</f>
        <v>75</v>
      </c>
      <c r="E77" s="92">
        <f>J76*0.007083263</f>
        <v>113.6618589954587</v>
      </c>
      <c r="F77" s="92">
        <f t="shared" si="28"/>
        <v>101.59483950411426</v>
      </c>
      <c r="G77" s="92">
        <f aca="true" t="shared" si="29" ref="G77:G113">G76*H77</f>
        <v>290.25669849957296</v>
      </c>
      <c r="H77" s="94">
        <v>1</v>
      </c>
      <c r="I77" s="112">
        <f>Plan4!J75</f>
        <v>1.0037798781590315</v>
      </c>
      <c r="J77" s="106">
        <f aca="true" t="shared" si="30" ref="J77:J113">J76*I77-E77</f>
        <v>15993.531531083458</v>
      </c>
      <c r="L77" s="92">
        <f>(J76*0.007083263)+L76</f>
        <v>804.7671987240594</v>
      </c>
    </row>
    <row r="78" spans="1:12" ht="10.5">
      <c r="A78" s="90">
        <f>A77+1</f>
        <v>105</v>
      </c>
      <c r="B78" s="91">
        <f>B77+30</f>
        <v>35730</v>
      </c>
      <c r="C78" s="92">
        <f>J77</f>
        <v>15993.531531083458</v>
      </c>
      <c r="D78" s="93">
        <f>16.97+58.03</f>
        <v>75</v>
      </c>
      <c r="E78" s="92">
        <f>J77*0.007083263</f>
        <v>113.2863901334568</v>
      </c>
      <c r="F78" s="92">
        <f t="shared" si="28"/>
        <v>101.97030836611616</v>
      </c>
      <c r="G78" s="92">
        <f t="shared" si="29"/>
        <v>290.25669849957296</v>
      </c>
      <c r="H78" s="94">
        <v>1</v>
      </c>
      <c r="I78" s="112">
        <f>Plan4!J76</f>
        <v>1.0017180375578256</v>
      </c>
      <c r="J78" s="106">
        <f t="shared" si="30"/>
        <v>15907.72262880267</v>
      </c>
      <c r="L78" s="92">
        <f>(J77*0.007083263)+L77</f>
        <v>918.0535888575163</v>
      </c>
    </row>
    <row r="79" spans="1:12" ht="10.5">
      <c r="A79" s="90">
        <f>A78+1</f>
        <v>106</v>
      </c>
      <c r="B79" s="91">
        <f>B78+31</f>
        <v>35761</v>
      </c>
      <c r="C79" s="92">
        <f>J78</f>
        <v>15907.72262880267</v>
      </c>
      <c r="D79" s="93">
        <f>16.97+58.03</f>
        <v>75</v>
      </c>
      <c r="E79" s="92">
        <f>J78*0.007083263</f>
        <v>112.6785831108607</v>
      </c>
      <c r="F79" s="92">
        <f t="shared" si="28"/>
        <v>102.57811538871226</v>
      </c>
      <c r="G79" s="92">
        <f t="shared" si="29"/>
        <v>290.25669849957296</v>
      </c>
      <c r="H79" s="94">
        <v>1</v>
      </c>
      <c r="I79" s="112">
        <f>Plan4!J77</f>
        <v>1.007313</v>
      </c>
      <c r="J79" s="106">
        <f t="shared" si="30"/>
        <v>15911.377221276241</v>
      </c>
      <c r="L79" s="92">
        <f>(J78*0.007083263)+L78</f>
        <v>1030.7321719683769</v>
      </c>
    </row>
    <row r="80" spans="1:12" ht="10.5">
      <c r="A80" s="90">
        <f>A79+1</f>
        <v>107</v>
      </c>
      <c r="B80" s="91">
        <f>B79+30</f>
        <v>35791</v>
      </c>
      <c r="C80" s="92">
        <f>J79</f>
        <v>15911.377221276241</v>
      </c>
      <c r="D80" s="93">
        <f>18.41+62.98</f>
        <v>81.39</v>
      </c>
      <c r="E80" s="92">
        <f>J79*0.007083263</f>
        <v>112.70446955050882</v>
      </c>
      <c r="F80" s="92">
        <f t="shared" si="28"/>
        <v>120.94347509686223</v>
      </c>
      <c r="G80" s="92">
        <f t="shared" si="29"/>
        <v>315.03794464737103</v>
      </c>
      <c r="H80" s="94">
        <v>1.085377</v>
      </c>
      <c r="I80" s="112">
        <f>Plan4!J78</f>
        <v>1.0217842422712917</v>
      </c>
      <c r="J80" s="106">
        <f t="shared" si="30"/>
        <v>16145.290047983928</v>
      </c>
      <c r="L80" s="92">
        <f>(J79*0.007083263)+L79</f>
        <v>1143.4366415188856</v>
      </c>
    </row>
    <row r="81" spans="1:12" ht="10.5">
      <c r="A81" s="90">
        <f>A80+1</f>
        <v>108</v>
      </c>
      <c r="B81" s="91">
        <f>B80+31</f>
        <v>35822</v>
      </c>
      <c r="C81" s="92">
        <f>J80</f>
        <v>16145.290047983928</v>
      </c>
      <c r="D81" s="93">
        <f>18.41+62.98</f>
        <v>81.39</v>
      </c>
      <c r="E81" s="92">
        <f>J80*0.007083263</f>
        <v>114.36133562115279</v>
      </c>
      <c r="F81" s="92">
        <f t="shared" si="28"/>
        <v>119.28660902621826</v>
      </c>
      <c r="G81" s="92">
        <f t="shared" si="29"/>
        <v>315.03794464737103</v>
      </c>
      <c r="H81" s="94">
        <v>1</v>
      </c>
      <c r="I81" s="112">
        <f>Plan4!J79</f>
        <v>1.0060770664100553</v>
      </c>
      <c r="J81" s="106">
        <f t="shared" si="30"/>
        <v>16129.044712193978</v>
      </c>
      <c r="L81" s="92">
        <f>(J80*0.007083263)+L80</f>
        <v>1257.7979771400385</v>
      </c>
    </row>
    <row r="82" spans="1:12" ht="10.5">
      <c r="A82" s="90"/>
      <c r="B82" s="113" t="s">
        <v>41</v>
      </c>
      <c r="C82" s="103"/>
      <c r="D82" s="114"/>
      <c r="E82" s="92"/>
      <c r="F82" s="92"/>
      <c r="G82" s="92"/>
      <c r="H82" s="103"/>
      <c r="J82" s="103">
        <f>J81+L81</f>
        <v>17386.842689334015</v>
      </c>
      <c r="L82" s="92"/>
    </row>
    <row r="83" spans="1:12" ht="10.5">
      <c r="A83" s="90">
        <f>A81+1</f>
        <v>109</v>
      </c>
      <c r="B83" s="91">
        <f>B81+31</f>
        <v>35853</v>
      </c>
      <c r="C83" s="92">
        <f>J82</f>
        <v>17386.842689334015</v>
      </c>
      <c r="D83" s="93">
        <f aca="true" t="shared" si="31" ref="D83:D92">18.41+62.98</f>
        <v>81.39</v>
      </c>
      <c r="E83" s="92">
        <f aca="true" t="shared" si="32" ref="E83:E94">J82*0.007083263</f>
        <v>123.15557950818013</v>
      </c>
      <c r="F83" s="92">
        <f aca="true" t="shared" si="33" ref="F83:F94">G83-D83-E83</f>
        <v>110.49236513919092</v>
      </c>
      <c r="G83" s="92">
        <f>G81*H83</f>
        <v>315.03794464737103</v>
      </c>
      <c r="H83" s="94">
        <v>1</v>
      </c>
      <c r="I83" s="112">
        <f>Plan4!J80</f>
        <v>1.0067670479821116</v>
      </c>
      <c r="J83" s="106">
        <f t="shared" si="30"/>
        <v>17381.344708561985</v>
      </c>
      <c r="L83" s="92">
        <f aca="true" t="shared" si="34" ref="L83:L94">(J82*0.007083263)+L82</f>
        <v>123.15557950818013</v>
      </c>
    </row>
    <row r="84" spans="1:12" ht="10.5">
      <c r="A84" s="90">
        <f aca="true" t="shared" si="35" ref="A84:A94">A83+1</f>
        <v>110</v>
      </c>
      <c r="B84" s="91">
        <f>B83+28</f>
        <v>35881</v>
      </c>
      <c r="C84" s="92">
        <f aca="true" t="shared" si="36" ref="C84:C94">J83</f>
        <v>17381.344708561985</v>
      </c>
      <c r="D84" s="93">
        <f t="shared" si="31"/>
        <v>81.39</v>
      </c>
      <c r="E84" s="92">
        <f t="shared" si="32"/>
        <v>123.1166358644029</v>
      </c>
      <c r="F84" s="92">
        <f t="shared" si="33"/>
        <v>110.53130878296815</v>
      </c>
      <c r="G84" s="92">
        <f t="shared" si="29"/>
        <v>315.03794464737103</v>
      </c>
      <c r="H84" s="94">
        <v>1</v>
      </c>
      <c r="I84" s="112">
        <f>Plan4!J81</f>
        <v>1.0004516156721368</v>
      </c>
      <c r="J84" s="106">
        <f t="shared" si="30"/>
        <v>17266.07776037078</v>
      </c>
      <c r="L84" s="92">
        <f t="shared" si="34"/>
        <v>246.27221537258302</v>
      </c>
    </row>
    <row r="85" spans="1:12" ht="10.5">
      <c r="A85" s="90">
        <f t="shared" si="35"/>
        <v>111</v>
      </c>
      <c r="B85" s="91">
        <f>B84+31</f>
        <v>35912</v>
      </c>
      <c r="C85" s="92">
        <f t="shared" si="36"/>
        <v>17266.07776037078</v>
      </c>
      <c r="D85" s="93">
        <f t="shared" si="31"/>
        <v>81.39</v>
      </c>
      <c r="E85" s="92">
        <f t="shared" si="32"/>
        <v>122.30016975515721</v>
      </c>
      <c r="F85" s="92">
        <f t="shared" si="33"/>
        <v>111.34777489221383</v>
      </c>
      <c r="G85" s="92">
        <f t="shared" si="29"/>
        <v>315.03794464737103</v>
      </c>
      <c r="H85" s="94">
        <v>1</v>
      </c>
      <c r="I85" s="112">
        <f>Plan4!J82</f>
        <v>0.9984834318217052</v>
      </c>
      <c r="J85" s="106">
        <f t="shared" si="30"/>
        <v>17117.592406520278</v>
      </c>
      <c r="L85" s="92">
        <f t="shared" si="34"/>
        <v>368.57238512774023</v>
      </c>
    </row>
    <row r="86" spans="1:12" ht="10.5">
      <c r="A86" s="90">
        <f t="shared" si="35"/>
        <v>112</v>
      </c>
      <c r="B86" s="91">
        <f>B85+30</f>
        <v>35942</v>
      </c>
      <c r="C86" s="92">
        <f t="shared" si="36"/>
        <v>17117.592406520278</v>
      </c>
      <c r="D86" s="93">
        <f t="shared" si="31"/>
        <v>81.39</v>
      </c>
      <c r="E86" s="92">
        <f t="shared" si="32"/>
        <v>121.24840894218605</v>
      </c>
      <c r="F86" s="92">
        <f t="shared" si="33"/>
        <v>112.399535705185</v>
      </c>
      <c r="G86" s="92">
        <f t="shared" si="29"/>
        <v>315.03794464737103</v>
      </c>
      <c r="H86" s="94">
        <v>1</v>
      </c>
      <c r="I86" s="112">
        <f>Plan4!J83</f>
        <v>1.0018193748654327</v>
      </c>
      <c r="J86" s="106">
        <f t="shared" si="30"/>
        <v>17027.48731495924</v>
      </c>
      <c r="L86" s="92">
        <f t="shared" si="34"/>
        <v>489.82079406992625</v>
      </c>
    </row>
    <row r="87" spans="1:12" ht="10.5">
      <c r="A87" s="90">
        <f t="shared" si="35"/>
        <v>113</v>
      </c>
      <c r="B87" s="91">
        <f>B86+31</f>
        <v>35973</v>
      </c>
      <c r="C87" s="92">
        <f t="shared" si="36"/>
        <v>17027.48731495924</v>
      </c>
      <c r="D87" s="93">
        <f t="shared" si="31"/>
        <v>81.39</v>
      </c>
      <c r="E87" s="92">
        <f t="shared" si="32"/>
        <v>120.61017088102012</v>
      </c>
      <c r="F87" s="92">
        <f t="shared" si="33"/>
        <v>113.03777376635092</v>
      </c>
      <c r="G87" s="92">
        <f t="shared" si="29"/>
        <v>315.03794464737103</v>
      </c>
      <c r="H87" s="94">
        <v>1</v>
      </c>
      <c r="I87" s="112">
        <f>Plan4!J84</f>
        <v>1.0023358183588111</v>
      </c>
      <c r="J87" s="106">
        <f t="shared" si="30"/>
        <v>16946.650261552924</v>
      </c>
      <c r="L87" s="92">
        <f t="shared" si="34"/>
        <v>610.4309649509464</v>
      </c>
    </row>
    <row r="88" spans="1:12" ht="10.5">
      <c r="A88" s="90">
        <f t="shared" si="35"/>
        <v>114</v>
      </c>
      <c r="B88" s="91">
        <f>B87+30</f>
        <v>36003</v>
      </c>
      <c r="C88" s="92">
        <f t="shared" si="36"/>
        <v>16946.650261552924</v>
      </c>
      <c r="D88" s="93">
        <f t="shared" si="31"/>
        <v>81.39</v>
      </c>
      <c r="E88" s="92">
        <f t="shared" si="32"/>
        <v>120.03758077159816</v>
      </c>
      <c r="F88" s="92">
        <f t="shared" si="33"/>
        <v>113.61036387577289</v>
      </c>
      <c r="G88" s="92">
        <f t="shared" si="29"/>
        <v>315.03794464737103</v>
      </c>
      <c r="H88" s="94">
        <v>1</v>
      </c>
      <c r="I88" s="112">
        <f>Plan4!J85</f>
        <v>0.9995310563921098</v>
      </c>
      <c r="J88" s="106">
        <f t="shared" si="30"/>
        <v>16818.665657466023</v>
      </c>
      <c r="L88" s="92">
        <f t="shared" si="34"/>
        <v>730.4685457225446</v>
      </c>
    </row>
    <row r="89" spans="1:12" ht="10.5">
      <c r="A89" s="90">
        <f t="shared" si="35"/>
        <v>115</v>
      </c>
      <c r="B89" s="91">
        <f>B88+31</f>
        <v>36034</v>
      </c>
      <c r="C89" s="92">
        <f t="shared" si="36"/>
        <v>16818.665657466023</v>
      </c>
      <c r="D89" s="93">
        <f t="shared" si="31"/>
        <v>81.39</v>
      </c>
      <c r="E89" s="92">
        <f t="shared" si="32"/>
        <v>119.13103216089976</v>
      </c>
      <c r="F89" s="92">
        <f t="shared" si="33"/>
        <v>114.51691248647128</v>
      </c>
      <c r="G89" s="92">
        <f t="shared" si="29"/>
        <v>315.03794464737103</v>
      </c>
      <c r="H89" s="94">
        <v>1</v>
      </c>
      <c r="I89" s="112">
        <f>Plan4!J86</f>
        <v>1.001034640765138</v>
      </c>
      <c r="J89" s="106">
        <f t="shared" si="30"/>
        <v>16716.935902409565</v>
      </c>
      <c r="L89" s="92">
        <f t="shared" si="34"/>
        <v>849.5995778834443</v>
      </c>
    </row>
    <row r="90" spans="1:12" ht="10.5">
      <c r="A90" s="90">
        <f t="shared" si="35"/>
        <v>116</v>
      </c>
      <c r="B90" s="91">
        <f>B89+31</f>
        <v>36065</v>
      </c>
      <c r="C90" s="92">
        <f t="shared" si="36"/>
        <v>16716.935902409565</v>
      </c>
      <c r="D90" s="93">
        <f t="shared" si="31"/>
        <v>81.39</v>
      </c>
      <c r="E90" s="92">
        <f t="shared" si="32"/>
        <v>118.41045355090928</v>
      </c>
      <c r="F90" s="92">
        <f t="shared" si="33"/>
        <v>115.23749109646177</v>
      </c>
      <c r="G90" s="92">
        <f t="shared" si="29"/>
        <v>315.03794464737103</v>
      </c>
      <c r="H90" s="94">
        <v>1</v>
      </c>
      <c r="I90" s="112">
        <f>Plan4!J87</f>
        <v>1.0007770007770007</v>
      </c>
      <c r="J90" s="106">
        <f t="shared" si="30"/>
        <v>16611.514521043897</v>
      </c>
      <c r="L90" s="92">
        <f t="shared" si="34"/>
        <v>968.0100314343537</v>
      </c>
    </row>
    <row r="91" spans="1:12" ht="10.5">
      <c r="A91" s="90">
        <f t="shared" si="35"/>
        <v>117</v>
      </c>
      <c r="B91" s="91">
        <f>B90+30</f>
        <v>36095</v>
      </c>
      <c r="C91" s="92">
        <f t="shared" si="36"/>
        <v>16611.514521043897</v>
      </c>
      <c r="D91" s="93">
        <f t="shared" si="31"/>
        <v>81.39</v>
      </c>
      <c r="E91" s="92">
        <f t="shared" si="32"/>
        <v>117.66372618087296</v>
      </c>
      <c r="F91" s="92">
        <f t="shared" si="33"/>
        <v>115.98421846649809</v>
      </c>
      <c r="G91" s="92">
        <f t="shared" si="29"/>
        <v>315.03794464737103</v>
      </c>
      <c r="H91" s="94">
        <v>1</v>
      </c>
      <c r="I91" s="112">
        <f>Plan4!J88</f>
        <v>1.0089899937460913</v>
      </c>
      <c r="J91" s="106">
        <f t="shared" si="30"/>
        <v>16643.188206520314</v>
      </c>
      <c r="L91" s="92">
        <f t="shared" si="34"/>
        <v>1085.6737576152266</v>
      </c>
    </row>
    <row r="92" spans="1:12" ht="10.5">
      <c r="A92" s="90">
        <f t="shared" si="35"/>
        <v>118</v>
      </c>
      <c r="B92" s="91">
        <f>B91+31</f>
        <v>36126</v>
      </c>
      <c r="C92" s="92">
        <f t="shared" si="36"/>
        <v>16643.188206520314</v>
      </c>
      <c r="D92" s="93">
        <f t="shared" si="31"/>
        <v>81.39</v>
      </c>
      <c r="E92" s="92">
        <f t="shared" si="32"/>
        <v>117.8880792252817</v>
      </c>
      <c r="F92" s="92">
        <f t="shared" si="33"/>
        <v>115.75986542208935</v>
      </c>
      <c r="G92" s="92">
        <f t="shared" si="29"/>
        <v>315.03794464737103</v>
      </c>
      <c r="H92" s="94">
        <v>1</v>
      </c>
      <c r="I92" s="112">
        <f>Plan4!J89</f>
        <v>1.0071204560864704</v>
      </c>
      <c r="J92" s="106">
        <f t="shared" si="30"/>
        <v>16643.80721805842</v>
      </c>
      <c r="L92" s="92">
        <f t="shared" si="34"/>
        <v>1203.5618368405082</v>
      </c>
    </row>
    <row r="93" spans="1:12" ht="10.5">
      <c r="A93" s="90">
        <f t="shared" si="35"/>
        <v>119</v>
      </c>
      <c r="B93" s="91">
        <f>B92+30</f>
        <v>36156</v>
      </c>
      <c r="C93" s="92">
        <f t="shared" si="36"/>
        <v>16643.80721805842</v>
      </c>
      <c r="D93" s="93">
        <f>20.13+68.89</f>
        <v>89.02</v>
      </c>
      <c r="E93" s="92">
        <f t="shared" si="32"/>
        <v>117.89246384680615</v>
      </c>
      <c r="F93" s="92">
        <f t="shared" si="33"/>
        <v>128.254515235864</v>
      </c>
      <c r="G93" s="92">
        <f t="shared" si="29"/>
        <v>335.16697908267014</v>
      </c>
      <c r="H93" s="94">
        <v>1.063894</v>
      </c>
      <c r="I93" s="112">
        <f>Plan4!J90</f>
        <v>0.9990940468701732</v>
      </c>
      <c r="J93" s="106">
        <f t="shared" si="30"/>
        <v>16510.83624497018</v>
      </c>
      <c r="L93" s="92">
        <f t="shared" si="34"/>
        <v>1321.4543006873143</v>
      </c>
    </row>
    <row r="94" spans="1:12" ht="10.5">
      <c r="A94" s="90">
        <f t="shared" si="35"/>
        <v>120</v>
      </c>
      <c r="B94" s="91">
        <f>B93+31</f>
        <v>36187</v>
      </c>
      <c r="C94" s="92">
        <f t="shared" si="36"/>
        <v>16510.83624497018</v>
      </c>
      <c r="D94" s="93">
        <f>20.13+68.89</f>
        <v>89.02</v>
      </c>
      <c r="E94" s="92">
        <f t="shared" si="32"/>
        <v>116.95059547305623</v>
      </c>
      <c r="F94" s="92">
        <f t="shared" si="33"/>
        <v>129.19638360961392</v>
      </c>
      <c r="G94" s="92">
        <f t="shared" si="29"/>
        <v>335.16697908267014</v>
      </c>
      <c r="H94" s="94">
        <v>1</v>
      </c>
      <c r="I94" s="112">
        <f>Plan4!J91</f>
        <v>1.001369009685893</v>
      </c>
      <c r="J94" s="106">
        <f t="shared" si="30"/>
        <v>16416.489144238683</v>
      </c>
      <c r="L94" s="92">
        <f t="shared" si="34"/>
        <v>1438.4048961603705</v>
      </c>
    </row>
    <row r="95" spans="1:12" ht="10.5">
      <c r="A95" s="90"/>
      <c r="B95" s="113" t="s">
        <v>41</v>
      </c>
      <c r="C95" s="103"/>
      <c r="D95" s="114"/>
      <c r="E95" s="92"/>
      <c r="F95" s="92"/>
      <c r="G95" s="92"/>
      <c r="H95" s="103"/>
      <c r="J95" s="103">
        <f>J94+L94</f>
        <v>17854.894040399053</v>
      </c>
      <c r="L95" s="92"/>
    </row>
    <row r="96" spans="1:12" ht="10.5">
      <c r="A96" s="90">
        <f>A94+1</f>
        <v>121</v>
      </c>
      <c r="B96" s="91">
        <f>B94+31</f>
        <v>36218</v>
      </c>
      <c r="C96" s="92">
        <f>J95</f>
        <v>17854.894040399053</v>
      </c>
      <c r="D96" s="93">
        <f aca="true" t="shared" si="37" ref="D96:D105">20.13+68.89</f>
        <v>89.02</v>
      </c>
      <c r="E96" s="92">
        <f aca="true" t="shared" si="38" ref="E96:E107">J95*0.007083263</f>
        <v>126.47091032527912</v>
      </c>
      <c r="F96" s="92">
        <f aca="true" t="shared" si="39" ref="F96:F107">G96-D96-E96</f>
        <v>119.67606875739104</v>
      </c>
      <c r="G96" s="92">
        <f>G94*H96</f>
        <v>335.16697908267014</v>
      </c>
      <c r="H96" s="94">
        <v>1</v>
      </c>
      <c r="I96" s="112">
        <f>Plan4!J92</f>
        <v>1.0080848604683372</v>
      </c>
      <c r="J96" s="106">
        <f t="shared" si="30"/>
        <v>17872.777457067346</v>
      </c>
      <c r="L96" s="92">
        <f aca="true" t="shared" si="40" ref="L96:L107">(J95*0.007083263)+L95</f>
        <v>126.47091032527912</v>
      </c>
    </row>
    <row r="97" spans="1:12" ht="10.5">
      <c r="A97" s="90">
        <f aca="true" t="shared" si="41" ref="A97:A107">A96+1</f>
        <v>122</v>
      </c>
      <c r="B97" s="91">
        <f>B96+28</f>
        <v>36246</v>
      </c>
      <c r="C97" s="92">
        <f aca="true" t="shared" si="42" ref="C97:C107">J96</f>
        <v>17872.777457067346</v>
      </c>
      <c r="D97" s="93">
        <f t="shared" si="37"/>
        <v>89.02</v>
      </c>
      <c r="E97" s="92">
        <f t="shared" si="38"/>
        <v>126.59758326887923</v>
      </c>
      <c r="F97" s="92">
        <f t="shared" si="39"/>
        <v>119.54939581379092</v>
      </c>
      <c r="G97" s="92">
        <f t="shared" si="29"/>
        <v>335.16697908267014</v>
      </c>
      <c r="H97" s="94">
        <v>1</v>
      </c>
      <c r="I97" s="112">
        <f>Plan4!J93</f>
        <v>1.004651260850573</v>
      </c>
      <c r="J97" s="106">
        <f t="shared" si="30"/>
        <v>17829.31082387553</v>
      </c>
      <c r="L97" s="92">
        <f t="shared" si="40"/>
        <v>253.06849359415835</v>
      </c>
    </row>
    <row r="98" spans="1:12" ht="10.5">
      <c r="A98" s="90">
        <f t="shared" si="41"/>
        <v>123</v>
      </c>
      <c r="B98" s="91">
        <f>B97+31</f>
        <v>36277</v>
      </c>
      <c r="C98" s="92">
        <f t="shared" si="42"/>
        <v>17829.31082387553</v>
      </c>
      <c r="D98" s="93">
        <f t="shared" si="37"/>
        <v>89.02</v>
      </c>
      <c r="E98" s="92">
        <f t="shared" si="38"/>
        <v>126.28969767425707</v>
      </c>
      <c r="F98" s="92">
        <f t="shared" si="39"/>
        <v>119.85728140841309</v>
      </c>
      <c r="G98" s="92">
        <f t="shared" si="29"/>
        <v>335.16697908267014</v>
      </c>
      <c r="H98" s="94">
        <v>1</v>
      </c>
      <c r="I98" s="112">
        <f>Plan4!J94</f>
        <v>0.9992685809787198</v>
      </c>
      <c r="J98" s="106">
        <f t="shared" si="30"/>
        <v>17689.980429128376</v>
      </c>
      <c r="L98" s="92">
        <f t="shared" si="40"/>
        <v>379.35819126841545</v>
      </c>
    </row>
    <row r="99" spans="1:12" ht="10.5">
      <c r="A99" s="90">
        <f t="shared" si="41"/>
        <v>124</v>
      </c>
      <c r="B99" s="91">
        <f>B98+30</f>
        <v>36307</v>
      </c>
      <c r="C99" s="92">
        <f t="shared" si="42"/>
        <v>17689.980429128376</v>
      </c>
      <c r="D99" s="93">
        <f t="shared" si="37"/>
        <v>89.02</v>
      </c>
      <c r="E99" s="92">
        <f t="shared" si="38"/>
        <v>125.30278384436916</v>
      </c>
      <c r="F99" s="92">
        <f t="shared" si="39"/>
        <v>120.844195238301</v>
      </c>
      <c r="G99" s="92">
        <f t="shared" si="29"/>
        <v>335.16697908267014</v>
      </c>
      <c r="H99" s="94">
        <v>1</v>
      </c>
      <c r="I99" s="112">
        <f>Plan4!J95</f>
        <v>1.0018402682983287</v>
      </c>
      <c r="J99" s="106">
        <f t="shared" si="30"/>
        <v>17597.231955465788</v>
      </c>
      <c r="L99" s="92">
        <f t="shared" si="40"/>
        <v>504.6609751127846</v>
      </c>
    </row>
    <row r="100" spans="1:12" ht="10.5">
      <c r="A100" s="90">
        <f t="shared" si="41"/>
        <v>125</v>
      </c>
      <c r="B100" s="91">
        <f>B99+31</f>
        <v>36338</v>
      </c>
      <c r="C100" s="92">
        <f t="shared" si="42"/>
        <v>17597.231955465788</v>
      </c>
      <c r="D100" s="93">
        <f t="shared" si="37"/>
        <v>89.02</v>
      </c>
      <c r="E100" s="92">
        <f t="shared" si="38"/>
        <v>124.64582201256847</v>
      </c>
      <c r="F100" s="92">
        <f t="shared" si="39"/>
        <v>121.50115707010168</v>
      </c>
      <c r="G100" s="92">
        <f t="shared" si="29"/>
        <v>335.16697908267014</v>
      </c>
      <c r="H100" s="94">
        <v>1</v>
      </c>
      <c r="I100" s="112">
        <f>Plan4!J96</f>
        <v>0.9970959317607556</v>
      </c>
      <c r="J100" s="106">
        <f t="shared" si="30"/>
        <v>17421.482571032735</v>
      </c>
      <c r="L100" s="92">
        <f t="shared" si="40"/>
        <v>629.3067971253531</v>
      </c>
    </row>
    <row r="101" spans="1:12" ht="10.5">
      <c r="A101" s="90">
        <f t="shared" si="41"/>
        <v>126</v>
      </c>
      <c r="B101" s="91">
        <f>B100+30</f>
        <v>36368</v>
      </c>
      <c r="C101" s="92">
        <f t="shared" si="42"/>
        <v>17421.482571032735</v>
      </c>
      <c r="D101" s="93">
        <f t="shared" si="37"/>
        <v>89.02</v>
      </c>
      <c r="E101" s="92">
        <f t="shared" si="38"/>
        <v>123.40094290054105</v>
      </c>
      <c r="F101" s="92">
        <f t="shared" si="39"/>
        <v>122.7460361821291</v>
      </c>
      <c r="G101" s="92">
        <f t="shared" si="29"/>
        <v>335.16697908267014</v>
      </c>
      <c r="H101" s="94">
        <v>1</v>
      </c>
      <c r="I101" s="112">
        <f>Plan4!J97</f>
        <v>0.9986063336701754</v>
      </c>
      <c r="J101" s="106">
        <f t="shared" si="30"/>
        <v>17273.80189445732</v>
      </c>
      <c r="L101" s="92">
        <f t="shared" si="40"/>
        <v>752.7077400258942</v>
      </c>
    </row>
    <row r="102" spans="1:12" ht="10.5">
      <c r="A102" s="90">
        <f t="shared" si="41"/>
        <v>127</v>
      </c>
      <c r="B102" s="91">
        <f>B101+31</f>
        <v>36399</v>
      </c>
      <c r="C102" s="92">
        <f t="shared" si="42"/>
        <v>17273.80189445732</v>
      </c>
      <c r="D102" s="93">
        <f t="shared" si="37"/>
        <v>89.02</v>
      </c>
      <c r="E102" s="92">
        <f t="shared" si="38"/>
        <v>122.35488182833944</v>
      </c>
      <c r="F102" s="92">
        <f t="shared" si="39"/>
        <v>123.79209725433071</v>
      </c>
      <c r="G102" s="92">
        <f t="shared" si="29"/>
        <v>335.16697908267014</v>
      </c>
      <c r="H102" s="94">
        <v>1</v>
      </c>
      <c r="I102" s="112">
        <f>Plan4!J98</f>
        <v>0.9992579605434654</v>
      </c>
      <c r="J102" s="106">
        <f t="shared" si="30"/>
        <v>17138.62917005893</v>
      </c>
      <c r="L102" s="92">
        <f t="shared" si="40"/>
        <v>875.0626218542336</v>
      </c>
    </row>
    <row r="103" spans="1:12" ht="10.5">
      <c r="A103" s="90">
        <f t="shared" si="41"/>
        <v>128</v>
      </c>
      <c r="B103" s="91">
        <f>B102+31</f>
        <v>36430</v>
      </c>
      <c r="C103" s="92">
        <f t="shared" si="42"/>
        <v>17138.62917005893</v>
      </c>
      <c r="D103" s="93">
        <f t="shared" si="37"/>
        <v>89.02</v>
      </c>
      <c r="E103" s="92">
        <f t="shared" si="38"/>
        <v>121.39741787099915</v>
      </c>
      <c r="F103" s="92">
        <f t="shared" si="39"/>
        <v>124.74956121167101</v>
      </c>
      <c r="G103" s="92">
        <f t="shared" si="29"/>
        <v>335.16697908267014</v>
      </c>
      <c r="H103" s="94">
        <v>1</v>
      </c>
      <c r="I103" s="112">
        <f>Plan4!J99</f>
        <v>0.99772157046644</v>
      </c>
      <c r="J103" s="106">
        <f t="shared" si="30"/>
        <v>16978.18259332214</v>
      </c>
      <c r="L103" s="92">
        <f t="shared" si="40"/>
        <v>996.4600397252327</v>
      </c>
    </row>
    <row r="104" spans="1:12" ht="10.5">
      <c r="A104" s="90">
        <f t="shared" si="41"/>
        <v>129</v>
      </c>
      <c r="B104" s="91">
        <f>B103+30</f>
        <v>36460</v>
      </c>
      <c r="C104" s="92">
        <f t="shared" si="42"/>
        <v>16978.18259332214</v>
      </c>
      <c r="D104" s="93">
        <f t="shared" si="37"/>
        <v>89.02</v>
      </c>
      <c r="E104" s="92">
        <f t="shared" si="38"/>
        <v>120.26093257052277</v>
      </c>
      <c r="F104" s="92">
        <f t="shared" si="39"/>
        <v>125.88604651214739</v>
      </c>
      <c r="G104" s="92">
        <f t="shared" si="29"/>
        <v>335.16697908267014</v>
      </c>
      <c r="H104" s="94">
        <v>1</v>
      </c>
      <c r="I104" s="112">
        <f>Plan4!J100</f>
        <v>0.9978798398776115</v>
      </c>
      <c r="J104" s="106">
        <f t="shared" si="30"/>
        <v>16821.925195066626</v>
      </c>
      <c r="L104" s="92">
        <f t="shared" si="40"/>
        <v>1116.7209722957555</v>
      </c>
    </row>
    <row r="105" spans="1:12" ht="10.5">
      <c r="A105" s="90">
        <f t="shared" si="41"/>
        <v>130</v>
      </c>
      <c r="B105" s="91">
        <f>B104+31</f>
        <v>36491</v>
      </c>
      <c r="C105" s="92">
        <f t="shared" si="42"/>
        <v>16821.925195066626</v>
      </c>
      <c r="D105" s="93">
        <f t="shared" si="37"/>
        <v>89.02</v>
      </c>
      <c r="E105" s="92">
        <f t="shared" si="38"/>
        <v>119.15412032298322</v>
      </c>
      <c r="F105" s="92">
        <f t="shared" si="39"/>
        <v>126.99285875968694</v>
      </c>
      <c r="G105" s="92">
        <f t="shared" si="29"/>
        <v>335.16697908267014</v>
      </c>
      <c r="H105" s="94">
        <v>1</v>
      </c>
      <c r="I105" s="112">
        <f>Plan4!J101</f>
        <v>0.9976496966123296</v>
      </c>
      <c r="J105" s="106">
        <f t="shared" si="30"/>
        <v>16663.23444697054</v>
      </c>
      <c r="L105" s="92">
        <f t="shared" si="40"/>
        <v>1235.8750926187388</v>
      </c>
    </row>
    <row r="106" spans="1:12" ht="10.5">
      <c r="A106" s="90">
        <f t="shared" si="41"/>
        <v>131</v>
      </c>
      <c r="B106" s="91">
        <f>B105+30</f>
        <v>36521</v>
      </c>
      <c r="C106" s="92">
        <f t="shared" si="42"/>
        <v>16663.23444697054</v>
      </c>
      <c r="D106" s="93">
        <f>21.46+73.46</f>
        <v>94.91999999999999</v>
      </c>
      <c r="E106" s="92">
        <f t="shared" si="38"/>
        <v>118.03007201855188</v>
      </c>
      <c r="F106" s="92">
        <f t="shared" si="39"/>
        <v>144.45758229510704</v>
      </c>
      <c r="G106" s="92">
        <f t="shared" si="29"/>
        <v>357.4076543136589</v>
      </c>
      <c r="H106" s="94">
        <v>1.066357</v>
      </c>
      <c r="I106" s="112">
        <f>Plan4!J102</f>
        <v>0.9974723275154285</v>
      </c>
      <c r="J106" s="106">
        <f t="shared" si="30"/>
        <v>16503.085175736414</v>
      </c>
      <c r="L106" s="92">
        <f t="shared" si="40"/>
        <v>1353.9051646372907</v>
      </c>
    </row>
    <row r="107" spans="1:12" ht="10.5">
      <c r="A107" s="90">
        <f t="shared" si="41"/>
        <v>132</v>
      </c>
      <c r="B107" s="91">
        <f>B106+31</f>
        <v>36552</v>
      </c>
      <c r="C107" s="92">
        <f t="shared" si="42"/>
        <v>16503.085175736414</v>
      </c>
      <c r="D107" s="93">
        <f>21.46+73.46</f>
        <v>94.91999999999999</v>
      </c>
      <c r="E107" s="92">
        <f t="shared" si="38"/>
        <v>116.89569261114225</v>
      </c>
      <c r="F107" s="92">
        <f t="shared" si="39"/>
        <v>145.5919617025167</v>
      </c>
      <c r="G107" s="92">
        <f t="shared" si="29"/>
        <v>357.4076543136589</v>
      </c>
      <c r="H107" s="94">
        <v>1</v>
      </c>
      <c r="I107" s="112">
        <f>Plan4!J103</f>
        <v>0.9976768962397163</v>
      </c>
      <c r="J107" s="106">
        <f t="shared" si="30"/>
        <v>16347.851103897236</v>
      </c>
      <c r="L107" s="92">
        <f t="shared" si="40"/>
        <v>1470.800857248433</v>
      </c>
    </row>
    <row r="108" spans="1:12" ht="10.5">
      <c r="A108" s="90"/>
      <c r="B108" s="113" t="s">
        <v>41</v>
      </c>
      <c r="C108" s="103"/>
      <c r="D108" s="114"/>
      <c r="E108" s="92"/>
      <c r="F108" s="92"/>
      <c r="G108" s="92"/>
      <c r="H108" s="103"/>
      <c r="J108" s="103">
        <f>J107+L107</f>
        <v>17818.651961145668</v>
      </c>
      <c r="L108" s="92"/>
    </row>
    <row r="109" spans="1:12" ht="10.5">
      <c r="A109" s="90">
        <f>A107+1</f>
        <v>133</v>
      </c>
      <c r="B109" s="91">
        <f>B107+31</f>
        <v>36583</v>
      </c>
      <c r="C109" s="92">
        <f>J108</f>
        <v>17818.651961145668</v>
      </c>
      <c r="D109" s="93">
        <f>21.46+73.46</f>
        <v>94.91999999999999</v>
      </c>
      <c r="E109" s="92">
        <f>J108*0.007083263</f>
        <v>126.21419814626056</v>
      </c>
      <c r="F109" s="92">
        <f>G109-D109-E109</f>
        <v>136.27345616739836</v>
      </c>
      <c r="G109" s="92">
        <f>G107*H109</f>
        <v>357.4076543136589</v>
      </c>
      <c r="H109" s="94">
        <v>1</v>
      </c>
      <c r="I109" s="112">
        <f>Plan4!J104</f>
        <v>0.9972974112145101</v>
      </c>
      <c r="J109" s="106">
        <f t="shared" si="30"/>
        <v>17644.281274036668</v>
      </c>
      <c r="L109" s="92">
        <f>(J108*0.007083263)+L108</f>
        <v>126.21419814626056</v>
      </c>
    </row>
    <row r="110" spans="1:12" ht="10.5">
      <c r="A110" s="90">
        <f>A109+1</f>
        <v>134</v>
      </c>
      <c r="B110" s="91">
        <f>B109+29</f>
        <v>36612</v>
      </c>
      <c r="C110" s="92">
        <f>J109</f>
        <v>17644.281274036668</v>
      </c>
      <c r="D110" s="93">
        <f>12.88+58.25</f>
        <v>71.13</v>
      </c>
      <c r="E110" s="92">
        <f>J109*0.007083263</f>
        <v>124.97908470997679</v>
      </c>
      <c r="F110" s="92">
        <f>G110-D110-E110</f>
        <v>161.2985696036821</v>
      </c>
      <c r="G110" s="92">
        <f t="shared" si="29"/>
        <v>357.4076543136589</v>
      </c>
      <c r="H110" s="94">
        <v>1</v>
      </c>
      <c r="I110" s="112">
        <f>Plan4!J105</f>
        <v>0.9957371406424209</v>
      </c>
      <c r="J110" s="106">
        <f t="shared" si="30"/>
        <v>17444.087099789907</v>
      </c>
      <c r="L110" s="92">
        <f>(J109*0.007083263)+L109</f>
        <v>251.19328285623735</v>
      </c>
    </row>
    <row r="111" spans="1:12" ht="10.5">
      <c r="A111" s="90">
        <f>A110+1</f>
        <v>135</v>
      </c>
      <c r="B111" s="91">
        <f>B110+31</f>
        <v>36643</v>
      </c>
      <c r="C111" s="92">
        <f>J110</f>
        <v>17444.087099789907</v>
      </c>
      <c r="D111" s="93">
        <f>12.88+58.25</f>
        <v>71.13</v>
      </c>
      <c r="E111" s="92">
        <f>J110*0.007083263</f>
        <v>123.56105672271916</v>
      </c>
      <c r="F111" s="92">
        <f>G111-D111-E111</f>
        <v>162.71659759093973</v>
      </c>
      <c r="G111" s="92">
        <f t="shared" si="29"/>
        <v>357.4076543136589</v>
      </c>
      <c r="H111" s="94">
        <v>1</v>
      </c>
      <c r="I111" s="112">
        <f>Plan4!J106</f>
        <v>0.9969577404464247</v>
      </c>
      <c r="J111" s="106">
        <f t="shared" si="30"/>
        <v>17267.456602434453</v>
      </c>
      <c r="L111" s="92">
        <f>(J110*0.007083263)+L110</f>
        <v>374.7543395789565</v>
      </c>
    </row>
    <row r="112" spans="1:12" ht="10.5">
      <c r="A112" s="90">
        <f>A111+1</f>
        <v>136</v>
      </c>
      <c r="B112" s="91">
        <f>B111+30</f>
        <v>36673</v>
      </c>
      <c r="C112" s="92">
        <f>J111</f>
        <v>17267.456602434453</v>
      </c>
      <c r="D112" s="93">
        <f>12.88+58.25</f>
        <v>71.13</v>
      </c>
      <c r="E112" s="92">
        <f>J111*0.007083263</f>
        <v>122.30993645612968</v>
      </c>
      <c r="F112" s="92">
        <f>G112-D112-E112</f>
        <v>163.96771785752924</v>
      </c>
      <c r="G112" s="92">
        <f t="shared" si="29"/>
        <v>357.4076543136589</v>
      </c>
      <c r="H112" s="94">
        <v>1</v>
      </c>
      <c r="I112" s="112">
        <f>Plan4!J107</f>
        <v>0.9966889003172251</v>
      </c>
      <c r="J112" s="106">
        <f t="shared" si="30"/>
        <v>17087.972395899673</v>
      </c>
      <c r="L112" s="92">
        <f>(J111*0.007083263)+L111</f>
        <v>497.06427603508615</v>
      </c>
    </row>
    <row r="113" spans="1:12" ht="10.5">
      <c r="A113" s="90">
        <f>A112+1</f>
        <v>137</v>
      </c>
      <c r="B113" s="91">
        <f>B112+31</f>
        <v>36704</v>
      </c>
      <c r="C113" s="92">
        <f>J112</f>
        <v>17087.972395899673</v>
      </c>
      <c r="D113" s="93">
        <f>12.88+58.25</f>
        <v>71.13</v>
      </c>
      <c r="E113" s="92">
        <f>J112*0.007083263</f>
        <v>121.0386026168975</v>
      </c>
      <c r="F113" s="92">
        <f>G113-D113-E113</f>
        <v>165.2390516967614</v>
      </c>
      <c r="G113" s="92">
        <f t="shared" si="29"/>
        <v>357.4076543136589</v>
      </c>
      <c r="H113" s="94">
        <v>1</v>
      </c>
      <c r="I113" s="112">
        <f>Plan4!J108</f>
        <v>0.9964390821413853</v>
      </c>
      <c r="J113" s="106">
        <f t="shared" si="30"/>
        <v>16906.084927210704</v>
      </c>
      <c r="L113" s="92">
        <f>(J112*0.007083263)+L112</f>
        <v>618.1028786519837</v>
      </c>
    </row>
    <row r="114" spans="1:12" ht="10.5">
      <c r="A114" s="95" t="s">
        <v>12</v>
      </c>
      <c r="B114" s="96"/>
      <c r="C114" s="97"/>
      <c r="D114" s="96"/>
      <c r="E114" s="98"/>
      <c r="F114" s="98"/>
      <c r="G114" s="97"/>
      <c r="H114" s="97"/>
      <c r="I114" s="97"/>
      <c r="J114" s="97">
        <f>J113</f>
        <v>16906.084927210704</v>
      </c>
      <c r="L114" s="97">
        <f>L113</f>
        <v>618.1028786519837</v>
      </c>
    </row>
    <row r="115" spans="1:12" ht="10.5">
      <c r="A115" s="60" t="s">
        <v>77</v>
      </c>
      <c r="I115" s="112"/>
      <c r="J115" s="99"/>
      <c r="L115" s="99">
        <f>J114</f>
        <v>16906.084927210704</v>
      </c>
    </row>
    <row r="116" spans="1:12" ht="10.5">
      <c r="A116" s="60" t="s">
        <v>78</v>
      </c>
      <c r="I116" s="112"/>
      <c r="J116" s="110"/>
      <c r="L116" s="110">
        <f>L114</f>
        <v>618.1028786519837</v>
      </c>
    </row>
    <row r="117" spans="1:12" ht="10.5">
      <c r="A117" s="60" t="s">
        <v>79</v>
      </c>
      <c r="E117" s="100"/>
      <c r="F117" s="100"/>
      <c r="G117" s="105">
        <v>36704</v>
      </c>
      <c r="I117" s="112"/>
      <c r="J117" s="99"/>
      <c r="L117" s="99">
        <f>SUM(L115:L116)</f>
        <v>17524.18780586269</v>
      </c>
    </row>
    <row r="118" ht="10.5">
      <c r="I118" s="112"/>
    </row>
    <row r="119" ht="10.5">
      <c r="I119" s="112"/>
    </row>
    <row r="120" ht="10.5">
      <c r="I120" s="112"/>
    </row>
    <row r="121" ht="10.5">
      <c r="I121" s="112"/>
    </row>
    <row r="122" ht="10.5">
      <c r="I122" s="112"/>
    </row>
    <row r="123" ht="10.5">
      <c r="I123" s="112"/>
    </row>
    <row r="124" ht="10.5">
      <c r="I124" s="112"/>
    </row>
    <row r="125" ht="10.5">
      <c r="I125" s="112"/>
    </row>
    <row r="126" ht="10.5">
      <c r="I126" s="112"/>
    </row>
    <row r="127" ht="10.5">
      <c r="I127" s="112"/>
    </row>
    <row r="128" ht="10.5">
      <c r="I128" s="112"/>
    </row>
    <row r="129" ht="10.5">
      <c r="I129" s="112"/>
    </row>
    <row r="130" ht="10.5">
      <c r="I130" s="112"/>
    </row>
    <row r="131" ht="10.5">
      <c r="I131" s="112"/>
    </row>
    <row r="132" ht="10.5">
      <c r="I132" s="112"/>
    </row>
    <row r="133" ht="10.5">
      <c r="I133" s="11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4" sqref="C4:C5"/>
    </sheetView>
  </sheetViews>
  <sheetFormatPr defaultColWidth="9.140625" defaultRowHeight="12.75"/>
  <cols>
    <col min="1" max="16384" width="9.140625" style="64" customWidth="1"/>
  </cols>
  <sheetData>
    <row r="1" spans="1:10" ht="10.5">
      <c r="A1" s="63"/>
      <c r="J1" s="65" t="s">
        <v>138</v>
      </c>
    </row>
    <row r="2" spans="1:10" ht="10.5">
      <c r="A2" s="63"/>
      <c r="J2" s="65" t="s">
        <v>2</v>
      </c>
    </row>
    <row r="3" spans="1:10" ht="10.5">
      <c r="A3" s="63"/>
      <c r="J3" s="65"/>
    </row>
    <row r="4" spans="1:10" ht="10.5">
      <c r="A4" s="60" t="s">
        <v>3</v>
      </c>
      <c r="C4" s="60" t="s">
        <v>188</v>
      </c>
      <c r="J4" s="60"/>
    </row>
    <row r="5" spans="1:3" ht="10.5">
      <c r="A5" s="60" t="s">
        <v>4</v>
      </c>
      <c r="C5" s="60" t="s">
        <v>188</v>
      </c>
    </row>
    <row r="6" ht="10.5">
      <c r="A6" s="60"/>
    </row>
    <row r="7" ht="10.5">
      <c r="D7" s="60" t="s">
        <v>189</v>
      </c>
    </row>
    <row r="14" spans="2:6" ht="10.5">
      <c r="B14" s="60" t="s">
        <v>136</v>
      </c>
      <c r="C14" s="60"/>
      <c r="D14" s="60"/>
      <c r="E14" s="60"/>
      <c r="F14" s="60"/>
    </row>
    <row r="15" spans="2:6" ht="10.5">
      <c r="B15" s="60" t="s">
        <v>137</v>
      </c>
      <c r="C15" s="60"/>
      <c r="D15" s="60"/>
      <c r="E15" s="60"/>
      <c r="F15" s="60"/>
    </row>
    <row r="31" ht="10.5">
      <c r="H31" s="64">
        <v>12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2014-02-14T17:11:32Z</cp:lastPrinted>
  <dcterms:created xsi:type="dcterms:W3CDTF">2012-12-10T18:35:53Z</dcterms:created>
  <dcterms:modified xsi:type="dcterms:W3CDTF">2016-02-25T12:51:16Z</dcterms:modified>
  <cp:category/>
  <cp:version/>
  <cp:contentType/>
  <cp:contentStatus/>
</cp:coreProperties>
</file>